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ATA\EXCEL\Budget\"/>
    </mc:Choice>
  </mc:AlternateContent>
  <bookViews>
    <workbookView xWindow="0" yWindow="60" windowWidth="24240" windowHeight="12375"/>
  </bookViews>
  <sheets>
    <sheet name="Service Unit Analysis" sheetId="1" r:id="rId1"/>
  </sheets>
  <definedNames>
    <definedName name="_xlnm.Print_Area" localSheetId="0">'Service Unit Analysis'!$A$1:$AA$61</definedName>
    <definedName name="_xlnm.Print_Titles" localSheetId="0">'Service Unit Analysis'!$A:$A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2" i="1" l="1"/>
  <c r="AA34" i="1"/>
  <c r="AA61" i="1"/>
  <c r="AA33" i="1"/>
  <c r="AA60" i="1"/>
  <c r="AA54" i="1"/>
  <c r="AA58" i="1"/>
  <c r="U8" i="1"/>
  <c r="U31" i="1"/>
  <c r="AA31" i="1"/>
  <c r="Y31" i="1"/>
  <c r="W31" i="1"/>
  <c r="O31" i="1"/>
  <c r="M31" i="1"/>
  <c r="K31" i="1"/>
  <c r="I31" i="1"/>
  <c r="G31" i="1"/>
  <c r="E31" i="1"/>
  <c r="C31" i="1"/>
  <c r="K29" i="1"/>
  <c r="K27" i="1"/>
  <c r="Q27" i="1" s="1"/>
  <c r="S27" i="1" s="1"/>
  <c r="Q31" i="1" l="1"/>
  <c r="C46" i="1"/>
  <c r="E18" i="1" l="1"/>
  <c r="C18" i="1"/>
  <c r="O8" i="1" l="1"/>
  <c r="O16" i="1"/>
  <c r="O10" i="1"/>
  <c r="M14" i="1"/>
  <c r="O14" i="1" l="1"/>
  <c r="J14" i="1" l="1"/>
  <c r="H14" i="1"/>
  <c r="F14" i="1"/>
  <c r="I10" i="1"/>
  <c r="K10" i="1" s="1"/>
  <c r="Q10" i="1" s="1"/>
  <c r="G10" i="1"/>
  <c r="E10" i="1"/>
  <c r="E14" i="1" s="1"/>
  <c r="C10" i="1"/>
  <c r="C14" i="1" s="1"/>
  <c r="K16" i="1"/>
  <c r="Q16" i="1" s="1"/>
  <c r="K12" i="1"/>
  <c r="Q12" i="1" s="1"/>
  <c r="U12" i="1" s="1"/>
  <c r="K11" i="1"/>
  <c r="Q11" i="1" s="1"/>
  <c r="U16" i="1" l="1"/>
  <c r="AA16" i="1" s="1"/>
  <c r="S16" i="1"/>
  <c r="I14" i="1"/>
  <c r="S10" i="1"/>
  <c r="K14" i="1"/>
  <c r="G14" i="1"/>
  <c r="U11" i="1"/>
  <c r="AA11" i="1" s="1"/>
  <c r="Y11" i="1"/>
  <c r="Y12" i="1"/>
  <c r="W12" i="1"/>
  <c r="AA12" i="1"/>
  <c r="S11" i="1"/>
  <c r="S12" i="1"/>
  <c r="W16" i="1" l="1"/>
  <c r="Y16" i="1"/>
  <c r="Q14" i="1"/>
  <c r="U14" i="1" s="1"/>
  <c r="U10" i="1"/>
  <c r="Y10" i="1" s="1"/>
  <c r="W11" i="1"/>
  <c r="E56" i="1"/>
  <c r="E52" i="1"/>
  <c r="E58" i="1" s="1"/>
  <c r="Z31" i="1"/>
  <c r="X31" i="1"/>
  <c r="V31" i="1"/>
  <c r="J31" i="1"/>
  <c r="H31" i="1"/>
  <c r="F31" i="1"/>
  <c r="W10" i="1" l="1"/>
  <c r="AA10" i="1"/>
  <c r="C56" i="1"/>
  <c r="C52" i="1"/>
  <c r="C58" i="1" s="1"/>
  <c r="M56" i="1"/>
  <c r="U56" i="1" l="1"/>
  <c r="I56" i="1"/>
  <c r="AA55" i="1"/>
  <c r="Y55" i="1"/>
  <c r="W55" i="1"/>
  <c r="Y54" i="1"/>
  <c r="W54" i="1"/>
  <c r="U52" i="1"/>
  <c r="I52" i="1"/>
  <c r="I58" i="1" s="1"/>
  <c r="Y51" i="1"/>
  <c r="AA51" i="1"/>
  <c r="AA50" i="1"/>
  <c r="Y50" i="1"/>
  <c r="W50" i="1"/>
  <c r="Y49" i="1"/>
  <c r="W49" i="1"/>
  <c r="AA49" i="1"/>
  <c r="AA48" i="1"/>
  <c r="Y48" i="1"/>
  <c r="W48" i="1"/>
  <c r="Y47" i="1"/>
  <c r="W47" i="1"/>
  <c r="AA47" i="1"/>
  <c r="AA46" i="1"/>
  <c r="Y46" i="1"/>
  <c r="Y45" i="1"/>
  <c r="W45" i="1"/>
  <c r="G52" i="1"/>
  <c r="Y52" i="1" l="1"/>
  <c r="Y58" i="1" s="1"/>
  <c r="Y56" i="1"/>
  <c r="W52" i="1"/>
  <c r="U58" i="1"/>
  <c r="AA56" i="1"/>
  <c r="W56" i="1"/>
  <c r="G56" i="1"/>
  <c r="G58" i="1" s="1"/>
  <c r="AA45" i="1"/>
  <c r="AA52" i="1" s="1"/>
  <c r="W58" i="1" l="1"/>
  <c r="Q25" i="1" l="1"/>
  <c r="U25" i="1" s="1"/>
  <c r="S36" i="1" l="1"/>
  <c r="K38" i="1"/>
  <c r="Q38" i="1"/>
  <c r="O38" i="1"/>
  <c r="M38" i="1"/>
  <c r="S25" i="1"/>
  <c r="I24" i="1"/>
  <c r="G24" i="1"/>
  <c r="O24" i="1"/>
  <c r="K24" i="1" l="1"/>
  <c r="Q24" i="1" s="1"/>
  <c r="U24" i="1" s="1"/>
  <c r="AA24" i="1" s="1"/>
  <c r="S38" i="1"/>
  <c r="S24" i="1" l="1"/>
  <c r="W24" i="1"/>
  <c r="Y24" i="1"/>
  <c r="O29" i="1" l="1"/>
  <c r="O22" i="1"/>
  <c r="O20" i="1"/>
  <c r="Q29" i="1"/>
  <c r="U29" i="1" s="1"/>
  <c r="K22" i="1"/>
  <c r="Q22" i="1" s="1"/>
  <c r="U22" i="1" s="1"/>
  <c r="K20" i="1"/>
  <c r="K18" i="1"/>
  <c r="K8" i="1"/>
  <c r="Q8" i="1" s="1"/>
  <c r="Q18" i="1" l="1"/>
  <c r="U18" i="1" s="1"/>
  <c r="Q20" i="1"/>
  <c r="S18" i="1"/>
  <c r="S29" i="1"/>
  <c r="S20" i="1" l="1"/>
  <c r="U20" i="1"/>
  <c r="Y20" i="1" s="1"/>
  <c r="Y14" i="1"/>
  <c r="W14" i="1"/>
  <c r="S22" i="1"/>
  <c r="AA14" i="1"/>
  <c r="S14" i="1"/>
  <c r="Y29" i="1"/>
  <c r="W29" i="1"/>
  <c r="AA29" i="1"/>
  <c r="Y18" i="1"/>
  <c r="AA18" i="1"/>
  <c r="W18" i="1"/>
  <c r="Y22" i="1"/>
  <c r="W22" i="1"/>
  <c r="AA22" i="1"/>
  <c r="S8" i="1"/>
  <c r="S31" i="1" l="1"/>
  <c r="W20" i="1"/>
  <c r="AA20" i="1"/>
  <c r="W8" i="1"/>
  <c r="Y8" i="1"/>
  <c r="AA8" i="1"/>
</calcChain>
</file>

<file path=xl/sharedStrings.xml><?xml version="1.0" encoding="utf-8"?>
<sst xmlns="http://schemas.openxmlformats.org/spreadsheetml/2006/main" count="100" uniqueCount="66">
  <si>
    <t xml:space="preserve">FY15 </t>
  </si>
  <si>
    <t>Actual</t>
  </si>
  <si>
    <t>FY16</t>
  </si>
  <si>
    <t>Budget</t>
  </si>
  <si>
    <t>Calculation</t>
  </si>
  <si>
    <t xml:space="preserve">Reduction </t>
  </si>
  <si>
    <t>3.5% FY16</t>
  </si>
  <si>
    <t xml:space="preserve">12-30-12 to </t>
  </si>
  <si>
    <t>FTE Change</t>
  </si>
  <si>
    <t>Personnel</t>
  </si>
  <si>
    <t>Reduction</t>
  </si>
  <si>
    <t>Total</t>
  </si>
  <si>
    <t xml:space="preserve">% Change </t>
  </si>
  <si>
    <t>From FY16</t>
  </si>
  <si>
    <t xml:space="preserve">Less Cut </t>
  </si>
  <si>
    <t>Equals FY17</t>
  </si>
  <si>
    <t>2% Increase</t>
  </si>
  <si>
    <t>Over FY17</t>
  </si>
  <si>
    <t>Division</t>
  </si>
  <si>
    <t>President</t>
  </si>
  <si>
    <t>VPBF</t>
  </si>
  <si>
    <t>VPEM</t>
  </si>
  <si>
    <t>VP MACE</t>
  </si>
  <si>
    <t>VPSA</t>
  </si>
  <si>
    <t>VPA</t>
  </si>
  <si>
    <t>FY17 Budget</t>
  </si>
  <si>
    <t>FY16 Budget</t>
  </si>
  <si>
    <t xml:space="preserve">Change to </t>
  </si>
  <si>
    <t>FY15 Actual</t>
  </si>
  <si>
    <t>Change to</t>
  </si>
  <si>
    <t>NCMR</t>
  </si>
  <si>
    <t>WSRI</t>
  </si>
  <si>
    <t>VPRGS-WSRI</t>
  </si>
  <si>
    <t>FY12</t>
  </si>
  <si>
    <t>FY13</t>
  </si>
  <si>
    <t>FY14</t>
  </si>
  <si>
    <t>FY15</t>
  </si>
  <si>
    <t>WSRI BBA</t>
  </si>
  <si>
    <t>WSARC- Loss from Operations Before Other Adjustments</t>
  </si>
  <si>
    <t>BBA Change</t>
  </si>
  <si>
    <t>Provost- CATS</t>
  </si>
  <si>
    <t>Provost- Libraries</t>
  </si>
  <si>
    <t>Equals FY18</t>
  </si>
  <si>
    <t>College</t>
  </si>
  <si>
    <t>COLA</t>
  </si>
  <si>
    <t>RSCOBA</t>
  </si>
  <si>
    <t>COECS</t>
  </si>
  <si>
    <t>COSM</t>
  </si>
  <si>
    <t>CONH</t>
  </si>
  <si>
    <t>COEHS</t>
  </si>
  <si>
    <t>SOPP</t>
  </si>
  <si>
    <t>Subtotal</t>
  </si>
  <si>
    <t>BSOM</t>
  </si>
  <si>
    <t>LAKE</t>
  </si>
  <si>
    <t>Academic Total</t>
  </si>
  <si>
    <t xml:space="preserve">% Budget Change from FY16 </t>
  </si>
  <si>
    <t>FY15 YTD</t>
  </si>
  <si>
    <t>Provost- Non Acad.</t>
  </si>
  <si>
    <t xml:space="preserve">Provost- Non Acad. </t>
  </si>
  <si>
    <r>
      <t>VPRGS</t>
    </r>
    <r>
      <rPr>
        <sz val="7"/>
        <color theme="1"/>
        <rFont val="Calibri"/>
        <family val="2"/>
        <scheme val="minor"/>
      </rPr>
      <t xml:space="preserve"> (Net of WSRI &amp; OhioLink)</t>
    </r>
  </si>
  <si>
    <t>VP- Curr. &amp; Instr.</t>
  </si>
  <si>
    <t>~2% Increase</t>
  </si>
  <si>
    <t>% ctual Change from FY15</t>
  </si>
  <si>
    <t>% Actual Change from FY15</t>
  </si>
  <si>
    <t>Budget Reduction Analysis</t>
  </si>
  <si>
    <t>As of September14,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</si>
</sst>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ill="1"/>
    <xf numFmtId="165" fontId="0" fillId="0" borderId="0" xfId="2" applyNumberFormat="1" applyFont="1" applyFill="1"/>
    <xf numFmtId="10" fontId="4" fillId="0" borderId="0" xfId="2" applyNumberFormat="1" applyFont="1" applyFill="1"/>
    <xf numFmtId="0" fontId="3" fillId="0" borderId="0" xfId="0" applyFont="1" applyFill="1"/>
    <xf numFmtId="164" fontId="3" fillId="0" borderId="0" xfId="1" applyNumberFormat="1" applyFont="1" applyFill="1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0" fontId="4" fillId="0" borderId="0" xfId="0" applyFont="1" applyFill="1"/>
    <xf numFmtId="164" fontId="4" fillId="0" borderId="0" xfId="1" applyNumberFormat="1" applyFont="1" applyFill="1"/>
    <xf numFmtId="166" fontId="4" fillId="0" borderId="0" xfId="3" applyNumberFormat="1" applyFont="1" applyFill="1"/>
    <xf numFmtId="164" fontId="4" fillId="0" borderId="0" xfId="0" applyNumberFormat="1" applyFont="1" applyFill="1"/>
    <xf numFmtId="164" fontId="4" fillId="0" borderId="1" xfId="1" applyNumberFormat="1" applyFont="1" applyFill="1" applyBorder="1"/>
    <xf numFmtId="166" fontId="4" fillId="0" borderId="1" xfId="3" applyNumberFormat="1" applyFont="1" applyFill="1" applyBorder="1"/>
    <xf numFmtId="164" fontId="4" fillId="0" borderId="1" xfId="0" applyNumberFormat="1" applyFont="1" applyFill="1" applyBorder="1"/>
    <xf numFmtId="164" fontId="4" fillId="0" borderId="0" xfId="1" applyNumberFormat="1" applyFont="1" applyFill="1" applyBorder="1"/>
    <xf numFmtId="0" fontId="4" fillId="0" borderId="0" xfId="0" applyFont="1" applyFill="1" applyBorder="1"/>
    <xf numFmtId="166" fontId="4" fillId="0" borderId="0" xfId="3" applyNumberFormat="1" applyFont="1" applyFill="1" applyBorder="1"/>
    <xf numFmtId="164" fontId="4" fillId="0" borderId="0" xfId="0" applyNumberFormat="1" applyFont="1" applyFill="1" applyBorder="1"/>
    <xf numFmtId="10" fontId="4" fillId="0" borderId="0" xfId="2" applyNumberFormat="1" applyFont="1" applyFill="1" applyBorder="1"/>
    <xf numFmtId="1" fontId="4" fillId="0" borderId="0" xfId="0" applyNumberFormat="1" applyFont="1" applyFill="1"/>
    <xf numFmtId="164" fontId="4" fillId="0" borderId="2" xfId="0" applyNumberFormat="1" applyFont="1" applyFill="1" applyBorder="1"/>
    <xf numFmtId="166" fontId="4" fillId="0" borderId="2" xfId="3" applyNumberFormat="1" applyFont="1" applyFill="1" applyBorder="1"/>
    <xf numFmtId="164" fontId="0" fillId="0" borderId="0" xfId="1" applyNumberFormat="1" applyFont="1" applyFill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2" fillId="0" borderId="0" xfId="0" applyFont="1" applyFill="1" applyBorder="1" applyAlignment="1">
      <alignment horizontal="center"/>
    </xf>
    <xf numFmtId="1" fontId="0" fillId="0" borderId="0" xfId="0" applyNumberFormat="1" applyFill="1"/>
    <xf numFmtId="164" fontId="0" fillId="0" borderId="1" xfId="1" applyNumberFormat="1" applyFont="1" applyFill="1" applyBorder="1"/>
    <xf numFmtId="1" fontId="0" fillId="0" borderId="1" xfId="0" applyNumberFormat="1" applyFill="1" applyBorder="1"/>
    <xf numFmtId="164" fontId="0" fillId="0" borderId="1" xfId="0" applyNumberFormat="1" applyFill="1" applyBorder="1"/>
    <xf numFmtId="0" fontId="0" fillId="0" borderId="0" xfId="0" applyFill="1" applyAlignment="1">
      <alignment horizontal="right"/>
    </xf>
    <xf numFmtId="164" fontId="0" fillId="0" borderId="2" xfId="0" applyNumberFormat="1" applyFill="1" applyBorder="1"/>
    <xf numFmtId="164" fontId="0" fillId="0" borderId="2" xfId="1" applyNumberFormat="1" applyFont="1" applyFill="1" applyBorder="1"/>
    <xf numFmtId="1" fontId="0" fillId="0" borderId="2" xfId="3" applyNumberFormat="1" applyFont="1" applyFill="1" applyBorder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4"/>
  <sheetViews>
    <sheetView tabSelected="1" topLeftCell="A3" zoomScaleNormal="100" workbookViewId="0">
      <pane ySplit="1605" activePane="bottomLeft"/>
      <selection activeCell="A3" sqref="A1:XFD1048576"/>
      <selection pane="bottomLeft" activeCell="E3" sqref="E3"/>
    </sheetView>
  </sheetViews>
  <sheetFormatPr defaultRowHeight="15" x14ac:dyDescent="0.25"/>
  <cols>
    <col min="1" max="1" width="21.140625" style="1" customWidth="1"/>
    <col min="2" max="2" width="1" style="1" customWidth="1"/>
    <col min="3" max="3" width="15.7109375" style="26" bestFit="1" customWidth="1"/>
    <col min="4" max="4" width="1" style="1" customWidth="1"/>
    <col min="5" max="5" width="15.42578125" style="26" customWidth="1"/>
    <col min="6" max="6" width="1" style="1" customWidth="1"/>
    <col min="7" max="7" width="15.42578125" style="1" customWidth="1"/>
    <col min="8" max="8" width="1" style="1" customWidth="1"/>
    <col min="9" max="9" width="15.7109375" style="1" customWidth="1"/>
    <col min="10" max="10" width="1" style="1" customWidth="1"/>
    <col min="11" max="11" width="14.7109375" style="1" bestFit="1" customWidth="1"/>
    <col min="12" max="12" width="1" style="1" customWidth="1"/>
    <col min="13" max="13" width="12.140625" style="1" customWidth="1"/>
    <col min="14" max="14" width="1" style="1" customWidth="1"/>
    <col min="15" max="15" width="13.5703125" style="1" customWidth="1"/>
    <col min="16" max="16" width="1" style="1" customWidth="1"/>
    <col min="17" max="17" width="15.28515625" style="1" customWidth="1"/>
    <col min="18" max="18" width="1" style="1" customWidth="1"/>
    <col min="19" max="19" width="12.42578125" style="1" customWidth="1"/>
    <col min="20" max="20" width="1" style="1" customWidth="1"/>
    <col min="21" max="21" width="15.7109375" style="1" bestFit="1" customWidth="1"/>
    <col min="22" max="22" width="1" style="1" customWidth="1"/>
    <col min="23" max="23" width="15.42578125" style="1" bestFit="1" customWidth="1"/>
    <col min="24" max="24" width="1" style="1" customWidth="1"/>
    <col min="25" max="25" width="14.140625" style="1" bestFit="1" customWidth="1"/>
    <col min="26" max="26" width="1" style="1" customWidth="1"/>
    <col min="27" max="27" width="14.140625" style="1" bestFit="1" customWidth="1"/>
    <col min="28" max="16384" width="9.140625" style="1"/>
  </cols>
  <sheetData>
    <row r="1" spans="1:27" s="4" customFormat="1" ht="18.75" x14ac:dyDescent="0.3">
      <c r="A1" s="4" t="s">
        <v>64</v>
      </c>
      <c r="C1" s="5"/>
      <c r="E1" s="5"/>
    </row>
    <row r="2" spans="1:27" s="4" customFormat="1" ht="18.75" x14ac:dyDescent="0.3">
      <c r="A2" s="4" t="s">
        <v>65</v>
      </c>
      <c r="C2" s="5"/>
      <c r="E2" s="5"/>
    </row>
    <row r="3" spans="1:27" s="6" customFormat="1" ht="15.75" x14ac:dyDescent="0.25">
      <c r="C3" s="7"/>
      <c r="E3" s="7"/>
      <c r="U3" s="6" t="s">
        <v>56</v>
      </c>
      <c r="W3" s="6" t="s">
        <v>16</v>
      </c>
    </row>
    <row r="4" spans="1:27" s="6" customFormat="1" ht="15.75" x14ac:dyDescent="0.25">
      <c r="C4" s="7"/>
      <c r="E4" s="7"/>
      <c r="K4" s="6" t="s">
        <v>6</v>
      </c>
      <c r="M4" s="6" t="s">
        <v>7</v>
      </c>
      <c r="O4" s="6" t="s">
        <v>9</v>
      </c>
      <c r="S4" s="6" t="s">
        <v>12</v>
      </c>
      <c r="U4" s="6" t="s">
        <v>14</v>
      </c>
      <c r="W4" s="6" t="s">
        <v>17</v>
      </c>
      <c r="Y4" s="6" t="s">
        <v>26</v>
      </c>
      <c r="AA4" s="6" t="s">
        <v>28</v>
      </c>
    </row>
    <row r="5" spans="1:27" s="6" customFormat="1" ht="15.75" x14ac:dyDescent="0.25">
      <c r="C5" s="7" t="s">
        <v>34</v>
      </c>
      <c r="E5" s="7" t="s">
        <v>34</v>
      </c>
      <c r="G5" s="6" t="s">
        <v>0</v>
      </c>
      <c r="I5" s="6" t="s">
        <v>2</v>
      </c>
      <c r="K5" s="6" t="s">
        <v>5</v>
      </c>
      <c r="M5" s="8">
        <v>42457</v>
      </c>
      <c r="O5" s="6" t="s">
        <v>10</v>
      </c>
      <c r="Q5" s="6" t="s">
        <v>11</v>
      </c>
      <c r="S5" s="6" t="s">
        <v>13</v>
      </c>
      <c r="U5" s="6" t="s">
        <v>15</v>
      </c>
      <c r="W5" s="6" t="s">
        <v>42</v>
      </c>
      <c r="Y5" s="6" t="s">
        <v>27</v>
      </c>
      <c r="AA5" s="6" t="s">
        <v>29</v>
      </c>
    </row>
    <row r="6" spans="1:27" s="6" customFormat="1" ht="15.75" x14ac:dyDescent="0.25">
      <c r="A6" s="9" t="s">
        <v>18</v>
      </c>
      <c r="C6" s="10" t="s">
        <v>3</v>
      </c>
      <c r="E6" s="10" t="s">
        <v>1</v>
      </c>
      <c r="G6" s="9" t="s">
        <v>1</v>
      </c>
      <c r="I6" s="9" t="s">
        <v>3</v>
      </c>
      <c r="K6" s="9" t="s">
        <v>4</v>
      </c>
      <c r="M6" s="9" t="s">
        <v>8</v>
      </c>
      <c r="O6" s="9" t="s">
        <v>4</v>
      </c>
      <c r="Q6" s="9" t="s">
        <v>10</v>
      </c>
      <c r="S6" s="9" t="s">
        <v>3</v>
      </c>
      <c r="U6" s="9" t="s">
        <v>3</v>
      </c>
      <c r="W6" s="9" t="s">
        <v>3</v>
      </c>
      <c r="Y6" s="9" t="s">
        <v>25</v>
      </c>
      <c r="AA6" s="9" t="s">
        <v>25</v>
      </c>
    </row>
    <row r="7" spans="1:27" s="11" customFormat="1" ht="15.75" x14ac:dyDescent="0.25">
      <c r="C7" s="12"/>
      <c r="E7" s="12"/>
    </row>
    <row r="8" spans="1:27" s="11" customFormat="1" ht="15.75" x14ac:dyDescent="0.25">
      <c r="A8" s="11" t="s">
        <v>19</v>
      </c>
      <c r="C8" s="12">
        <v>30219434</v>
      </c>
      <c r="E8" s="12">
        <v>29591458</v>
      </c>
      <c r="G8" s="12">
        <v>33821628</v>
      </c>
      <c r="I8" s="12">
        <v>30661349</v>
      </c>
      <c r="K8" s="12">
        <f>I8*0.035</f>
        <v>1073147.2150000001</v>
      </c>
      <c r="M8" s="13">
        <v>9.2200000000000006</v>
      </c>
      <c r="O8" s="12">
        <f>M8*86701</f>
        <v>799383.22000000009</v>
      </c>
      <c r="Q8" s="14">
        <f>(K8+O8)*-1-1193605</f>
        <v>-3066135.4350000001</v>
      </c>
      <c r="S8" s="3">
        <f>Q8/I8</f>
        <v>-0.10000001744867781</v>
      </c>
      <c r="U8" s="14">
        <f>G8+Q8</f>
        <v>30755492.565000001</v>
      </c>
      <c r="W8" s="14">
        <f>U8*1.02</f>
        <v>31370602.416300002</v>
      </c>
      <c r="Y8" s="14">
        <f>U8-I8</f>
        <v>94143.565000001341</v>
      </c>
      <c r="AA8" s="14">
        <f>U8-G8</f>
        <v>-3066135.4349999987</v>
      </c>
    </row>
    <row r="9" spans="1:27" s="11" customFormat="1" ht="15.75" x14ac:dyDescent="0.25">
      <c r="C9" s="12"/>
      <c r="E9" s="12"/>
      <c r="F9" s="12"/>
      <c r="G9" s="12"/>
      <c r="H9" s="12"/>
      <c r="I9" s="12"/>
      <c r="J9" s="12"/>
      <c r="K9" s="12"/>
      <c r="M9" s="13"/>
      <c r="O9" s="12"/>
      <c r="Q9" s="14"/>
      <c r="S9" s="3"/>
      <c r="U9" s="14"/>
      <c r="W9" s="14"/>
      <c r="Y9" s="14"/>
      <c r="AA9" s="14"/>
    </row>
    <row r="10" spans="1:27" s="11" customFormat="1" ht="15.75" x14ac:dyDescent="0.25">
      <c r="A10" s="11" t="s">
        <v>58</v>
      </c>
      <c r="C10" s="12">
        <f>25155493-12691704</f>
        <v>12463789</v>
      </c>
      <c r="E10" s="12">
        <f>24295540-12366049</f>
        <v>11929491</v>
      </c>
      <c r="G10" s="12">
        <f>30124720-12986313</f>
        <v>17138407</v>
      </c>
      <c r="I10" s="12">
        <f>29357887-15647137</f>
        <v>13710750</v>
      </c>
      <c r="K10" s="12">
        <f t="shared" ref="K10:K12" si="0">I10*0.035</f>
        <v>479876.25000000006</v>
      </c>
      <c r="M10" s="13">
        <v>10</v>
      </c>
      <c r="O10" s="12">
        <f t="shared" ref="O10" si="1">M10*86701</f>
        <v>867010</v>
      </c>
      <c r="Q10" s="14">
        <f>(K10+O10)*-1-24600</f>
        <v>-1371486.25</v>
      </c>
      <c r="S10" s="3">
        <f t="shared" ref="S10:S12" si="2">Q10/I10</f>
        <v>-0.1000299947121784</v>
      </c>
      <c r="U10" s="14">
        <f t="shared" ref="U10:U12" si="3">G10+Q10</f>
        <v>15766920.75</v>
      </c>
      <c r="W10" s="14">
        <f t="shared" ref="W10:W12" si="4">U10*1.02</f>
        <v>16082259.165000001</v>
      </c>
      <c r="Y10" s="14">
        <f t="shared" ref="Y10:Y12" si="5">U10-I10</f>
        <v>2056170.75</v>
      </c>
      <c r="AA10" s="14">
        <f t="shared" ref="AA10:AA12" si="6">U10-G10</f>
        <v>-1371486.25</v>
      </c>
    </row>
    <row r="11" spans="1:27" s="11" customFormat="1" ht="15.75" x14ac:dyDescent="0.25">
      <c r="A11" s="11" t="s">
        <v>41</v>
      </c>
      <c r="C11" s="12">
        <v>9052048</v>
      </c>
      <c r="E11" s="12">
        <v>9006139</v>
      </c>
      <c r="G11" s="12">
        <v>8874573</v>
      </c>
      <c r="I11" s="12">
        <v>9289931</v>
      </c>
      <c r="K11" s="12">
        <f t="shared" si="0"/>
        <v>325147.58500000002</v>
      </c>
      <c r="M11" s="13">
        <v>-2</v>
      </c>
      <c r="O11" s="12">
        <v>0</v>
      </c>
      <c r="Q11" s="14">
        <f t="shared" ref="Q11:Q12" si="7">(K11+O11)*-1</f>
        <v>-325147.58500000002</v>
      </c>
      <c r="S11" s="3">
        <f t="shared" si="2"/>
        <v>-3.5000000000000003E-2</v>
      </c>
      <c r="U11" s="14">
        <f t="shared" si="3"/>
        <v>8549425.4149999991</v>
      </c>
      <c r="W11" s="14">
        <f t="shared" si="4"/>
        <v>8720413.9232999999</v>
      </c>
      <c r="Y11" s="14">
        <f t="shared" si="5"/>
        <v>-740505.58500000089</v>
      </c>
      <c r="AA11" s="14">
        <f t="shared" si="6"/>
        <v>-325147.58500000089</v>
      </c>
    </row>
    <row r="12" spans="1:27" s="11" customFormat="1" ht="15.75" x14ac:dyDescent="0.25">
      <c r="A12" s="11" t="s">
        <v>40</v>
      </c>
      <c r="C12" s="15">
        <v>1734744</v>
      </c>
      <c r="E12" s="15">
        <v>1778197</v>
      </c>
      <c r="G12" s="15">
        <v>2268425</v>
      </c>
      <c r="I12" s="15">
        <v>3789571</v>
      </c>
      <c r="K12" s="15">
        <f t="shared" si="0"/>
        <v>132634.98500000002</v>
      </c>
      <c r="M12" s="16">
        <v>-5</v>
      </c>
      <c r="O12" s="15">
        <v>0</v>
      </c>
      <c r="Q12" s="17">
        <f t="shared" si="7"/>
        <v>-132634.98500000002</v>
      </c>
      <c r="S12" s="3">
        <f t="shared" si="2"/>
        <v>-3.5000000000000003E-2</v>
      </c>
      <c r="U12" s="17">
        <f t="shared" si="3"/>
        <v>2135790.0150000001</v>
      </c>
      <c r="W12" s="17">
        <f t="shared" si="4"/>
        <v>2178505.8153000004</v>
      </c>
      <c r="Y12" s="17">
        <f t="shared" si="5"/>
        <v>-1653780.9849999999</v>
      </c>
      <c r="AA12" s="17">
        <f t="shared" si="6"/>
        <v>-132634.98499999987</v>
      </c>
    </row>
    <row r="13" spans="1:27" s="11" customFormat="1" ht="15.75" x14ac:dyDescent="0.25">
      <c r="M13" s="13"/>
    </row>
    <row r="14" spans="1:27" s="11" customFormat="1" ht="15.75" x14ac:dyDescent="0.25">
      <c r="A14" s="11" t="s">
        <v>57</v>
      </c>
      <c r="C14" s="12">
        <f>SUM(C10:C13)</f>
        <v>23250581</v>
      </c>
      <c r="E14" s="12">
        <f t="shared" ref="E14:K14" si="8">SUM(E10:E13)</f>
        <v>22713827</v>
      </c>
      <c r="F14" s="12">
        <f t="shared" si="8"/>
        <v>0</v>
      </c>
      <c r="G14" s="12">
        <f t="shared" si="8"/>
        <v>28281405</v>
      </c>
      <c r="H14" s="12">
        <f t="shared" si="8"/>
        <v>0</v>
      </c>
      <c r="I14" s="12">
        <f t="shared" si="8"/>
        <v>26790252</v>
      </c>
      <c r="J14" s="12">
        <f t="shared" si="8"/>
        <v>0</v>
      </c>
      <c r="K14" s="12">
        <f t="shared" si="8"/>
        <v>937658.82000000007</v>
      </c>
      <c r="M14" s="13">
        <f>SUM(M10:M13)</f>
        <v>3</v>
      </c>
      <c r="O14" s="12">
        <f>SUM(O10:O13)</f>
        <v>867010</v>
      </c>
      <c r="Q14" s="14">
        <f>SUM(Q10:Q13)</f>
        <v>-1829268.82</v>
      </c>
      <c r="S14" s="3">
        <f t="shared" ref="S14:S31" si="9">Q14/I14</f>
        <v>-6.8281135242774127E-2</v>
      </c>
      <c r="U14" s="14">
        <f>G14+Q14</f>
        <v>26452136.18</v>
      </c>
      <c r="W14" s="14">
        <f t="shared" ref="W14:W29" si="10">U14*1.02</f>
        <v>26981178.9036</v>
      </c>
      <c r="Y14" s="14">
        <f t="shared" ref="Y14:Y29" si="11">U14-I14</f>
        <v>-338115.8200000003</v>
      </c>
      <c r="AA14" s="14">
        <f t="shared" ref="AA14:AA29" si="12">U14-G14</f>
        <v>-1829268.8200000003</v>
      </c>
    </row>
    <row r="15" spans="1:27" s="11" customFormat="1" ht="15.75" x14ac:dyDescent="0.25">
      <c r="C15" s="12"/>
      <c r="E15" s="12"/>
      <c r="F15" s="12"/>
      <c r="G15" s="12"/>
      <c r="H15" s="12"/>
      <c r="I15" s="12"/>
      <c r="J15" s="12"/>
      <c r="K15" s="12"/>
      <c r="M15" s="13"/>
      <c r="O15" s="12"/>
      <c r="Q15" s="14"/>
      <c r="S15" s="3"/>
      <c r="U15" s="14"/>
      <c r="W15" s="14"/>
      <c r="Y15" s="14"/>
      <c r="AA15" s="14"/>
    </row>
    <row r="16" spans="1:27" s="11" customFormat="1" ht="15.75" x14ac:dyDescent="0.25">
      <c r="A16" s="11" t="s">
        <v>60</v>
      </c>
      <c r="C16" s="18">
        <v>1904912</v>
      </c>
      <c r="D16" s="19"/>
      <c r="E16" s="18">
        <v>1581713</v>
      </c>
      <c r="F16" s="19"/>
      <c r="G16" s="18">
        <v>1843315</v>
      </c>
      <c r="H16" s="19"/>
      <c r="I16" s="18">
        <v>2567635</v>
      </c>
      <c r="J16" s="19"/>
      <c r="K16" s="18">
        <f>I16*0.035</f>
        <v>89867.225000000006</v>
      </c>
      <c r="L16" s="19"/>
      <c r="M16" s="20">
        <v>3</v>
      </c>
      <c r="N16" s="19"/>
      <c r="O16" s="18">
        <f>M16*86701</f>
        <v>260103</v>
      </c>
      <c r="P16" s="19"/>
      <c r="Q16" s="21">
        <f>(K16+O16)*-1</f>
        <v>-349970.22499999998</v>
      </c>
      <c r="R16" s="19"/>
      <c r="S16" s="22">
        <f>Q16/I16</f>
        <v>-0.13630061321021095</v>
      </c>
      <c r="T16" s="19"/>
      <c r="U16" s="21">
        <f>G16+Q16</f>
        <v>1493344.7749999999</v>
      </c>
      <c r="V16" s="19"/>
      <c r="W16" s="21">
        <f>U16*1.02</f>
        <v>1523211.6705</v>
      </c>
      <c r="X16" s="19"/>
      <c r="Y16" s="21">
        <f>U16-I16</f>
        <v>-1074290.2250000001</v>
      </c>
      <c r="Z16" s="19"/>
      <c r="AA16" s="21">
        <f>U16-G16</f>
        <v>-349970.22500000009</v>
      </c>
    </row>
    <row r="17" spans="1:27" s="11" customFormat="1" ht="15.75" x14ac:dyDescent="0.25">
      <c r="C17" s="12"/>
      <c r="E17" s="12"/>
      <c r="G17" s="12"/>
      <c r="I17" s="12"/>
      <c r="K17" s="12"/>
      <c r="M17" s="13"/>
      <c r="O17" s="12"/>
      <c r="Q17" s="14"/>
      <c r="S17" s="3"/>
      <c r="U17" s="14"/>
      <c r="W17" s="14"/>
      <c r="Y17" s="14"/>
      <c r="AA17" s="14"/>
    </row>
    <row r="18" spans="1:27" s="11" customFormat="1" ht="15.75" x14ac:dyDescent="0.25">
      <c r="A18" s="11" t="s">
        <v>20</v>
      </c>
      <c r="C18" s="12">
        <f>19050408-6925758</f>
        <v>12124650</v>
      </c>
      <c r="E18" s="12">
        <f>19295540-6193987</f>
        <v>13101553</v>
      </c>
      <c r="G18" s="12">
        <v>14235264</v>
      </c>
      <c r="I18" s="12">
        <v>14252898</v>
      </c>
      <c r="K18" s="12">
        <f t="shared" ref="K18:K29" si="13">I18*0.035</f>
        <v>498851.43000000005</v>
      </c>
      <c r="M18" s="13">
        <v>-18.100000000000001</v>
      </c>
      <c r="O18" s="12">
        <v>0</v>
      </c>
      <c r="Q18" s="14">
        <f>(K18+O18)*-1</f>
        <v>-498851.43000000005</v>
      </c>
      <c r="S18" s="3">
        <f t="shared" si="9"/>
        <v>-3.5000000000000003E-2</v>
      </c>
      <c r="U18" s="14">
        <f t="shared" ref="U18:U29" si="14">G18+Q18</f>
        <v>13736412.57</v>
      </c>
      <c r="W18" s="14">
        <f t="shared" si="10"/>
        <v>14011140.8214</v>
      </c>
      <c r="Y18" s="14">
        <f t="shared" si="11"/>
        <v>-516485.4299999997</v>
      </c>
      <c r="AA18" s="14">
        <f t="shared" si="12"/>
        <v>-498851.4299999997</v>
      </c>
    </row>
    <row r="19" spans="1:27" s="11" customFormat="1" ht="15.75" x14ac:dyDescent="0.25">
      <c r="C19" s="12"/>
      <c r="E19" s="12"/>
      <c r="G19" s="12"/>
      <c r="I19" s="12"/>
      <c r="K19" s="12"/>
      <c r="M19" s="13"/>
      <c r="O19" s="12"/>
      <c r="Q19" s="14"/>
      <c r="S19" s="3"/>
      <c r="U19" s="14"/>
      <c r="W19" s="14"/>
      <c r="Y19" s="14"/>
      <c r="AA19" s="14"/>
    </row>
    <row r="20" spans="1:27" s="11" customFormat="1" ht="15.75" x14ac:dyDescent="0.25">
      <c r="A20" s="11" t="s">
        <v>21</v>
      </c>
      <c r="C20" s="12">
        <v>4395441</v>
      </c>
      <c r="E20" s="12">
        <v>5900406</v>
      </c>
      <c r="G20" s="12">
        <v>5635248</v>
      </c>
      <c r="I20" s="12">
        <v>4616182</v>
      </c>
      <c r="K20" s="12">
        <f t="shared" si="13"/>
        <v>161566.37000000002</v>
      </c>
      <c r="M20" s="13">
        <v>3.8</v>
      </c>
      <c r="O20" s="12">
        <f t="shared" ref="O20:O29" si="15">M20*86701</f>
        <v>329463.8</v>
      </c>
      <c r="Q20" s="14">
        <f>(K20+O20)*-1</f>
        <v>-491030.17000000004</v>
      </c>
      <c r="S20" s="3">
        <f t="shared" si="9"/>
        <v>-0.10637149271844135</v>
      </c>
      <c r="U20" s="14">
        <f t="shared" si="14"/>
        <v>5144217.83</v>
      </c>
      <c r="W20" s="14">
        <f t="shared" si="10"/>
        <v>5247102.1866000006</v>
      </c>
      <c r="Y20" s="14">
        <f t="shared" si="11"/>
        <v>528035.83000000007</v>
      </c>
      <c r="AA20" s="14">
        <f t="shared" si="12"/>
        <v>-491030.16999999993</v>
      </c>
    </row>
    <row r="21" spans="1:27" s="11" customFormat="1" ht="15.75" x14ac:dyDescent="0.25">
      <c r="C21" s="12"/>
      <c r="E21" s="12"/>
      <c r="G21" s="12"/>
      <c r="I21" s="12"/>
      <c r="K21" s="12"/>
      <c r="M21" s="13"/>
      <c r="O21" s="12"/>
      <c r="Q21" s="14"/>
      <c r="S21" s="3"/>
      <c r="U21" s="14"/>
      <c r="W21" s="14"/>
      <c r="Y21" s="14"/>
      <c r="AA21" s="14"/>
    </row>
    <row r="22" spans="1:27" s="11" customFormat="1" ht="15.75" x14ac:dyDescent="0.25">
      <c r="A22" s="11" t="s">
        <v>22</v>
      </c>
      <c r="C22" s="12">
        <v>1366283</v>
      </c>
      <c r="E22" s="12">
        <v>1588113</v>
      </c>
      <c r="G22" s="12">
        <v>2036952</v>
      </c>
      <c r="I22" s="12">
        <v>1856829</v>
      </c>
      <c r="K22" s="12">
        <f t="shared" si="13"/>
        <v>64989.015000000007</v>
      </c>
      <c r="M22" s="13">
        <v>1.92</v>
      </c>
      <c r="O22" s="12">
        <f t="shared" si="15"/>
        <v>166465.91999999998</v>
      </c>
      <c r="Q22" s="14">
        <f>(K22+O22)*-1</f>
        <v>-231454.935</v>
      </c>
      <c r="S22" s="3">
        <f t="shared" si="9"/>
        <v>-0.1246506463438475</v>
      </c>
      <c r="U22" s="14">
        <f t="shared" si="14"/>
        <v>1805497.0649999999</v>
      </c>
      <c r="W22" s="14">
        <f t="shared" si="10"/>
        <v>1841607.0063</v>
      </c>
      <c r="Y22" s="14">
        <f t="shared" si="11"/>
        <v>-51331.935000000056</v>
      </c>
      <c r="AA22" s="14">
        <f t="shared" si="12"/>
        <v>-231454.93500000006</v>
      </c>
    </row>
    <row r="23" spans="1:27" s="11" customFormat="1" ht="15.75" x14ac:dyDescent="0.25">
      <c r="C23" s="12"/>
      <c r="E23" s="12"/>
      <c r="G23" s="12"/>
      <c r="I23" s="12"/>
      <c r="K23" s="12"/>
      <c r="M23" s="13"/>
      <c r="O23" s="12"/>
      <c r="Q23" s="14"/>
      <c r="S23" s="3"/>
      <c r="U23" s="14"/>
      <c r="W23" s="14"/>
      <c r="Y23" s="14"/>
      <c r="AA23" s="14"/>
    </row>
    <row r="24" spans="1:27" s="11" customFormat="1" ht="15.75" x14ac:dyDescent="0.25">
      <c r="A24" s="11" t="s">
        <v>59</v>
      </c>
      <c r="C24" s="12">
        <v>8594192</v>
      </c>
      <c r="E24" s="12">
        <v>17754891</v>
      </c>
      <c r="G24" s="12">
        <f>13298607-1323088-2506177</f>
        <v>9469342</v>
      </c>
      <c r="I24" s="12">
        <f>10325217-4718-1235738</f>
        <v>9084761</v>
      </c>
      <c r="K24" s="12">
        <f t="shared" si="13"/>
        <v>317966.63500000001</v>
      </c>
      <c r="M24" s="13">
        <v>1.91</v>
      </c>
      <c r="O24" s="12">
        <f t="shared" si="15"/>
        <v>165598.91</v>
      </c>
      <c r="Q24" s="14">
        <f>(K24+O24)*-1</f>
        <v>-483565.54500000004</v>
      </c>
      <c r="S24" s="3">
        <f t="shared" ref="S24:S25" si="16">Q24/I24</f>
        <v>-5.3228207654554702E-2</v>
      </c>
      <c r="U24" s="14">
        <f t="shared" si="14"/>
        <v>8985776.4550000001</v>
      </c>
      <c r="W24" s="14">
        <f t="shared" ref="W24" si="17">U24*1.02</f>
        <v>9165491.9841000009</v>
      </c>
      <c r="Y24" s="14">
        <f t="shared" ref="Y24" si="18">U24-I24</f>
        <v>-98984.544999999925</v>
      </c>
      <c r="AA24" s="14">
        <f t="shared" ref="AA24" si="19">U24-G24</f>
        <v>-483565.54499999993</v>
      </c>
    </row>
    <row r="25" spans="1:27" s="11" customFormat="1" ht="15.75" x14ac:dyDescent="0.25">
      <c r="A25" s="11" t="s">
        <v>32</v>
      </c>
      <c r="C25" s="12">
        <v>200000</v>
      </c>
      <c r="E25" s="12">
        <v>200000</v>
      </c>
      <c r="G25" s="12">
        <v>200000</v>
      </c>
      <c r="I25" s="12">
        <v>200000</v>
      </c>
      <c r="K25" s="12">
        <v>200000</v>
      </c>
      <c r="M25" s="13">
        <v>0</v>
      </c>
      <c r="O25" s="12">
        <v>0</v>
      </c>
      <c r="Q25" s="14">
        <f>(200000)*-1</f>
        <v>-200000</v>
      </c>
      <c r="S25" s="3">
        <f t="shared" si="16"/>
        <v>-1</v>
      </c>
      <c r="U25" s="14">
        <f t="shared" si="14"/>
        <v>0</v>
      </c>
      <c r="W25" s="14">
        <v>0</v>
      </c>
      <c r="Y25" s="14">
        <v>-200000</v>
      </c>
      <c r="AA25" s="14">
        <v>-200000</v>
      </c>
    </row>
    <row r="26" spans="1:27" s="11" customFormat="1" ht="15.75" x14ac:dyDescent="0.25">
      <c r="C26" s="12"/>
      <c r="E26" s="12"/>
      <c r="G26" s="12"/>
      <c r="I26" s="12"/>
      <c r="K26" s="12"/>
      <c r="M26" s="13"/>
      <c r="O26" s="12"/>
      <c r="Q26" s="14"/>
      <c r="S26" s="3"/>
      <c r="U26" s="14"/>
      <c r="W26" s="14"/>
      <c r="Y26" s="14"/>
      <c r="AA26" s="14"/>
    </row>
    <row r="27" spans="1:27" s="11" customFormat="1" ht="15.75" x14ac:dyDescent="0.25">
      <c r="A27" s="11" t="s">
        <v>23</v>
      </c>
      <c r="C27" s="12">
        <v>17407147</v>
      </c>
      <c r="E27" s="12">
        <v>17754891</v>
      </c>
      <c r="G27" s="12">
        <v>18989880</v>
      </c>
      <c r="I27" s="12">
        <v>17746661</v>
      </c>
      <c r="K27" s="12">
        <f t="shared" ref="K27" si="20">I27*0.035</f>
        <v>621133.13500000001</v>
      </c>
      <c r="M27" s="13">
        <v>13</v>
      </c>
      <c r="O27" s="12">
        <v>1164394</v>
      </c>
      <c r="Q27" s="14">
        <f>(K27+O27)*-1</f>
        <v>-1785527.135</v>
      </c>
      <c r="S27" s="3">
        <f t="shared" ref="S27" si="21">Q27/I27</f>
        <v>-0.10061200442156415</v>
      </c>
      <c r="U27" s="14">
        <v>17204352</v>
      </c>
      <c r="W27" s="14">
        <v>17548439</v>
      </c>
      <c r="Y27" s="14">
        <v>-542311</v>
      </c>
      <c r="AA27" s="14">
        <v>-1785528</v>
      </c>
    </row>
    <row r="28" spans="1:27" s="11" customFormat="1" ht="15.75" x14ac:dyDescent="0.25">
      <c r="C28" s="12"/>
      <c r="E28" s="12"/>
      <c r="G28" s="12"/>
      <c r="I28" s="12"/>
      <c r="K28" s="12"/>
      <c r="M28" s="13"/>
      <c r="O28" s="12"/>
      <c r="Q28" s="14"/>
      <c r="S28" s="3"/>
      <c r="U28" s="14"/>
      <c r="W28" s="14"/>
      <c r="Y28" s="14"/>
      <c r="AA28" s="14"/>
    </row>
    <row r="29" spans="1:27" s="11" customFormat="1" ht="15.75" x14ac:dyDescent="0.25">
      <c r="A29" s="11" t="s">
        <v>24</v>
      </c>
      <c r="C29" s="15">
        <v>3666969</v>
      </c>
      <c r="E29" s="15">
        <v>3980814</v>
      </c>
      <c r="G29" s="15">
        <v>3862038</v>
      </c>
      <c r="I29" s="15">
        <v>4024055</v>
      </c>
      <c r="K29" s="15">
        <f t="shared" si="13"/>
        <v>140841.92500000002</v>
      </c>
      <c r="M29" s="16">
        <v>1.26</v>
      </c>
      <c r="O29" s="15">
        <f t="shared" si="15"/>
        <v>109243.26</v>
      </c>
      <c r="Q29" s="17">
        <f>(K29+O29)*-1</f>
        <v>-250085.185</v>
      </c>
      <c r="S29" s="3">
        <f t="shared" si="9"/>
        <v>-6.2147556382802921E-2</v>
      </c>
      <c r="U29" s="17">
        <f t="shared" si="14"/>
        <v>3611952.8149999999</v>
      </c>
      <c r="W29" s="17">
        <f t="shared" si="10"/>
        <v>3684191.8713000002</v>
      </c>
      <c r="Y29" s="17">
        <f t="shared" si="11"/>
        <v>-412102.18500000006</v>
      </c>
      <c r="AA29" s="17">
        <f t="shared" si="12"/>
        <v>-250085.18500000006</v>
      </c>
    </row>
    <row r="30" spans="1:27" s="11" customFormat="1" ht="15.75" x14ac:dyDescent="0.25">
      <c r="C30" s="12"/>
      <c r="E30" s="12"/>
      <c r="M30" s="23"/>
      <c r="O30" s="12"/>
      <c r="S30" s="3"/>
    </row>
    <row r="31" spans="1:27" s="11" customFormat="1" ht="16.5" thickBot="1" x14ac:dyDescent="0.3">
      <c r="C31" s="24">
        <f>C8+C14+C18+C20+C22+C24+C25+C27+C29+C16</f>
        <v>103129609</v>
      </c>
      <c r="E31" s="24">
        <f>E8+E14+E18+E20+E22+E24+E25+E27+E29+E16</f>
        <v>114167666</v>
      </c>
      <c r="F31" s="24">
        <f>F8+F14+F18+F20+F22+F24+F25+F27+F29</f>
        <v>0</v>
      </c>
      <c r="G31" s="24">
        <f>G8+G14+G18+G20+G22+G24+G25+G27+G29+G16</f>
        <v>118375072</v>
      </c>
      <c r="H31" s="24">
        <f>H8+H14+H18+H20+H22+H24+H25+H27+H29</f>
        <v>0</v>
      </c>
      <c r="I31" s="24">
        <f>I8+I14+I18+I20+I22+I24+I25+I27+I29+I16</f>
        <v>111800622</v>
      </c>
      <c r="J31" s="24">
        <f>J8+J14+J18+J20+J22+J24+J25+J27+J29</f>
        <v>0</v>
      </c>
      <c r="K31" s="24">
        <f>K8+K14+K18+K20+K22+K24+K25+K27+K29+K16</f>
        <v>4106021.77</v>
      </c>
      <c r="M31" s="25">
        <f>M8+M14+M18+M20+M22+M24+M25+M27+M29+M16</f>
        <v>19.009999999999998</v>
      </c>
      <c r="O31" s="24">
        <f>O8+O14+O18+O20+O22+O24+O25+O27+O29+O16</f>
        <v>3861662.1100000003</v>
      </c>
      <c r="Q31" s="24">
        <f>Q8+Q14+Q18+Q20+Q22+Q24+Q25+Q27+Q29+Q16</f>
        <v>-9185888.879999999</v>
      </c>
      <c r="S31" s="3">
        <f t="shared" si="9"/>
        <v>-8.2163128573649602E-2</v>
      </c>
      <c r="U31" s="24">
        <f>U8+U14+U18+U20+U22+U24+U25+U27+U29+U16</f>
        <v>109189182.255</v>
      </c>
      <c r="V31" s="24">
        <f>V8+V14+V18+V20+V22+V24+V25+V27+V29</f>
        <v>0</v>
      </c>
      <c r="W31" s="24">
        <f>W8+W14+W18+W20+W22+W24+W25+W27+W29+W16</f>
        <v>111372965.8601</v>
      </c>
      <c r="X31" s="24">
        <f>X8+X14+X18+X20+X22+X24+X25+X27+X29</f>
        <v>0</v>
      </c>
      <c r="Y31" s="24">
        <f>Y8+Y14+Y18+Y20+Y22+Y24+Y25+Y27+Y29+Y16</f>
        <v>-2611441.7449999987</v>
      </c>
      <c r="Z31" s="24">
        <f>Z8+Z14+Z18+Z20+Z22+Z24+Z25+Z27+Z29</f>
        <v>0</v>
      </c>
      <c r="AA31" s="24">
        <f>AA8+AA14+AA18+AA20+AA22+AA24+AA25+AA27+AA29+AA16</f>
        <v>-9185889.7449999992</v>
      </c>
    </row>
    <row r="32" spans="1:27" ht="15.75" thickTop="1" x14ac:dyDescent="0.25"/>
    <row r="33" spans="1:27" x14ac:dyDescent="0.25">
      <c r="A33" s="1" t="s">
        <v>30</v>
      </c>
      <c r="C33" s="26">
        <v>0</v>
      </c>
      <c r="G33" s="26">
        <v>1323088</v>
      </c>
      <c r="H33" s="26"/>
      <c r="I33" s="26">
        <v>4718</v>
      </c>
      <c r="W33" s="1" t="s">
        <v>55</v>
      </c>
      <c r="AA33" s="2">
        <f>Y31/I31</f>
        <v>-2.3358025190593292E-2</v>
      </c>
    </row>
    <row r="34" spans="1:27" x14ac:dyDescent="0.25">
      <c r="A34" s="1" t="s">
        <v>31</v>
      </c>
      <c r="C34" s="26">
        <v>225497</v>
      </c>
      <c r="G34" s="26">
        <v>2506177</v>
      </c>
      <c r="H34" s="26"/>
      <c r="I34" s="26">
        <v>1235738</v>
      </c>
      <c r="W34" s="1" t="s">
        <v>62</v>
      </c>
      <c r="AA34" s="2">
        <f>AA31/G31</f>
        <v>-7.7599866169458367E-2</v>
      </c>
    </row>
    <row r="35" spans="1:27" x14ac:dyDescent="0.25">
      <c r="K35" s="27" t="s">
        <v>33</v>
      </c>
      <c r="L35" s="28"/>
      <c r="M35" s="27" t="s">
        <v>34</v>
      </c>
      <c r="N35" s="28"/>
      <c r="O35" s="27" t="s">
        <v>35</v>
      </c>
      <c r="P35" s="28"/>
      <c r="Q35" s="27" t="s">
        <v>36</v>
      </c>
      <c r="S35" s="27" t="s">
        <v>11</v>
      </c>
    </row>
    <row r="36" spans="1:27" x14ac:dyDescent="0.25">
      <c r="A36" s="1" t="s">
        <v>38</v>
      </c>
      <c r="K36" s="26">
        <v>-626818</v>
      </c>
      <c r="L36" s="26"/>
      <c r="M36" s="26">
        <v>-1993982</v>
      </c>
      <c r="N36" s="26"/>
      <c r="O36" s="26">
        <v>-927903</v>
      </c>
      <c r="P36" s="26"/>
      <c r="Q36" s="26">
        <v>-724754</v>
      </c>
      <c r="S36" s="29">
        <f>SUM(K36:Q36)</f>
        <v>-4273457</v>
      </c>
    </row>
    <row r="37" spans="1:27" x14ac:dyDescent="0.25">
      <c r="A37" s="1" t="s">
        <v>37</v>
      </c>
      <c r="K37" s="26">
        <v>1262724</v>
      </c>
      <c r="L37" s="26"/>
      <c r="M37" s="26">
        <v>1858548</v>
      </c>
      <c r="N37" s="26"/>
      <c r="O37" s="26">
        <v>2020402</v>
      </c>
      <c r="P37" s="26"/>
      <c r="Q37" s="26">
        <v>1213391</v>
      </c>
    </row>
    <row r="38" spans="1:27" x14ac:dyDescent="0.25">
      <c r="G38" s="1" t="s">
        <v>39</v>
      </c>
      <c r="K38" s="26">
        <f>K37-1044893</f>
        <v>217831</v>
      </c>
      <c r="M38" s="29">
        <f>M37-K37</f>
        <v>595824</v>
      </c>
      <c r="O38" s="29">
        <f>O37-M37</f>
        <v>161854</v>
      </c>
      <c r="Q38" s="29">
        <f>Q37-O37</f>
        <v>-807011</v>
      </c>
      <c r="S38" s="29">
        <f>SUM(K38:Q38)</f>
        <v>168498</v>
      </c>
    </row>
    <row r="40" spans="1:27" ht="15.75" x14ac:dyDescent="0.25">
      <c r="A40" s="6"/>
      <c r="B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 t="s">
        <v>61</v>
      </c>
      <c r="X40" s="6"/>
      <c r="Y40" s="6"/>
      <c r="Z40" s="6"/>
      <c r="AA40" s="6"/>
    </row>
    <row r="41" spans="1:27" ht="15.75" x14ac:dyDescent="0.25">
      <c r="A41" s="6"/>
      <c r="B41" s="6"/>
      <c r="G41" s="6"/>
      <c r="H41" s="6"/>
      <c r="I41" s="6"/>
      <c r="J41" s="6"/>
      <c r="K41" s="6"/>
      <c r="L41" s="6"/>
      <c r="M41" s="6" t="s">
        <v>7</v>
      </c>
      <c r="N41" s="6"/>
      <c r="O41" s="30"/>
      <c r="P41" s="30"/>
      <c r="Q41" s="30"/>
      <c r="R41" s="30"/>
      <c r="S41" s="30"/>
      <c r="T41" s="6"/>
      <c r="U41" s="6"/>
      <c r="V41" s="6"/>
      <c r="W41" s="6" t="s">
        <v>17</v>
      </c>
      <c r="X41" s="6"/>
      <c r="Y41" s="6" t="s">
        <v>26</v>
      </c>
      <c r="Z41" s="6"/>
      <c r="AA41" s="6" t="s">
        <v>28</v>
      </c>
    </row>
    <row r="42" spans="1:27" ht="15.75" x14ac:dyDescent="0.25">
      <c r="A42" s="6"/>
      <c r="B42" s="6"/>
      <c r="C42" s="7" t="s">
        <v>34</v>
      </c>
      <c r="D42" s="6"/>
      <c r="E42" s="7" t="s">
        <v>34</v>
      </c>
      <c r="G42" s="6" t="s">
        <v>0</v>
      </c>
      <c r="H42" s="6"/>
      <c r="I42" s="6" t="s">
        <v>2</v>
      </c>
      <c r="J42" s="6"/>
      <c r="K42" s="6"/>
      <c r="L42" s="6"/>
      <c r="M42" s="8">
        <v>42457</v>
      </c>
      <c r="N42" s="6"/>
      <c r="O42" s="30"/>
      <c r="P42" s="30"/>
      <c r="Q42" s="30"/>
      <c r="R42" s="30"/>
      <c r="S42" s="30"/>
      <c r="T42" s="6"/>
      <c r="U42" s="6" t="s">
        <v>15</v>
      </c>
      <c r="V42" s="6"/>
      <c r="W42" s="6" t="s">
        <v>42</v>
      </c>
      <c r="X42" s="6"/>
      <c r="Y42" s="6" t="s">
        <v>27</v>
      </c>
      <c r="Z42" s="6"/>
      <c r="AA42" s="6" t="s">
        <v>29</v>
      </c>
    </row>
    <row r="43" spans="1:27" ht="15.75" x14ac:dyDescent="0.25">
      <c r="A43" s="9" t="s">
        <v>43</v>
      </c>
      <c r="B43" s="6"/>
      <c r="C43" s="10" t="s">
        <v>3</v>
      </c>
      <c r="D43" s="6"/>
      <c r="E43" s="10" t="s">
        <v>1</v>
      </c>
      <c r="G43" s="9" t="s">
        <v>1</v>
      </c>
      <c r="H43" s="6"/>
      <c r="I43" s="9" t="s">
        <v>3</v>
      </c>
      <c r="J43" s="6"/>
      <c r="K43" s="9"/>
      <c r="L43" s="6"/>
      <c r="M43" s="9" t="s">
        <v>8</v>
      </c>
      <c r="N43" s="6"/>
      <c r="O43" s="30"/>
      <c r="P43" s="30"/>
      <c r="Q43" s="30"/>
      <c r="R43" s="30"/>
      <c r="S43" s="30"/>
      <c r="T43" s="6"/>
      <c r="U43" s="9" t="s">
        <v>3</v>
      </c>
      <c r="V43" s="6"/>
      <c r="W43" s="9" t="s">
        <v>3</v>
      </c>
      <c r="X43" s="6"/>
      <c r="Y43" s="9" t="s">
        <v>25</v>
      </c>
      <c r="Z43" s="6"/>
      <c r="AA43" s="9" t="s">
        <v>25</v>
      </c>
    </row>
    <row r="45" spans="1:27" ht="15.75" x14ac:dyDescent="0.25">
      <c r="A45" s="1" t="s">
        <v>44</v>
      </c>
      <c r="C45" s="26">
        <v>24788801</v>
      </c>
      <c r="E45" s="26">
        <v>26563003</v>
      </c>
      <c r="G45" s="26">
        <v>30932178</v>
      </c>
      <c r="I45" s="26">
        <v>28392281</v>
      </c>
      <c r="M45" s="31">
        <v>20.58</v>
      </c>
      <c r="U45" s="26">
        <v>26156793</v>
      </c>
      <c r="W45" s="29">
        <f>U45*1.02</f>
        <v>26679928.859999999</v>
      </c>
      <c r="Y45" s="14">
        <f t="shared" ref="Y45:Y51" si="22">U45-I45</f>
        <v>-2235488</v>
      </c>
      <c r="Z45" s="11"/>
      <c r="AA45" s="14">
        <f t="shared" ref="AA45:AA51" si="23">U45-G45</f>
        <v>-4775385</v>
      </c>
    </row>
    <row r="46" spans="1:27" ht="15.75" x14ac:dyDescent="0.25">
      <c r="A46" s="1" t="s">
        <v>45</v>
      </c>
      <c r="C46" s="26">
        <f>15169529</f>
        <v>15169529</v>
      </c>
      <c r="E46" s="26">
        <v>16913398</v>
      </c>
      <c r="G46" s="26">
        <v>18036293</v>
      </c>
      <c r="I46" s="26">
        <v>16130189</v>
      </c>
      <c r="M46" s="31">
        <v>6.56</v>
      </c>
      <c r="U46" s="26">
        <v>16037710</v>
      </c>
      <c r="W46" s="29">
        <v>16385464</v>
      </c>
      <c r="Y46" s="14">
        <f t="shared" si="22"/>
        <v>-92479</v>
      </c>
      <c r="Z46" s="11"/>
      <c r="AA46" s="14">
        <f t="shared" si="23"/>
        <v>-1998583</v>
      </c>
    </row>
    <row r="47" spans="1:27" ht="15.75" x14ac:dyDescent="0.25">
      <c r="A47" s="1" t="s">
        <v>46</v>
      </c>
      <c r="C47" s="26">
        <v>16229292</v>
      </c>
      <c r="E47" s="26">
        <v>18566199</v>
      </c>
      <c r="G47" s="26">
        <v>23168415</v>
      </c>
      <c r="I47" s="26">
        <v>18149562</v>
      </c>
      <c r="M47" s="31">
        <v>20.5</v>
      </c>
      <c r="U47" s="26">
        <v>23279234</v>
      </c>
      <c r="W47" s="29">
        <f t="shared" ref="W47:W50" si="24">U47*1.02</f>
        <v>23744818.68</v>
      </c>
      <c r="Y47" s="14">
        <f t="shared" si="22"/>
        <v>5129672</v>
      </c>
      <c r="Z47" s="11"/>
      <c r="AA47" s="14">
        <f t="shared" si="23"/>
        <v>110819</v>
      </c>
    </row>
    <row r="48" spans="1:27" ht="15.75" x14ac:dyDescent="0.25">
      <c r="A48" s="1" t="s">
        <v>47</v>
      </c>
      <c r="C48" s="26">
        <v>26475605</v>
      </c>
      <c r="E48" s="26">
        <v>28903949</v>
      </c>
      <c r="G48" s="26">
        <v>31428220</v>
      </c>
      <c r="I48" s="26">
        <v>28750153</v>
      </c>
      <c r="M48" s="31">
        <v>-1.21</v>
      </c>
      <c r="U48" s="26">
        <v>27337807</v>
      </c>
      <c r="W48" s="29">
        <f t="shared" si="24"/>
        <v>27884563.140000001</v>
      </c>
      <c r="Y48" s="14">
        <f t="shared" si="22"/>
        <v>-1412346</v>
      </c>
      <c r="Z48" s="11"/>
      <c r="AA48" s="14">
        <f t="shared" si="23"/>
        <v>-4090413</v>
      </c>
    </row>
    <row r="49" spans="1:27" ht="15.75" x14ac:dyDescent="0.25">
      <c r="A49" s="1" t="s">
        <v>48</v>
      </c>
      <c r="C49" s="26">
        <v>6531205</v>
      </c>
      <c r="E49" s="26">
        <v>7612506</v>
      </c>
      <c r="G49" s="26">
        <v>8163851</v>
      </c>
      <c r="I49" s="26">
        <v>6851087</v>
      </c>
      <c r="M49" s="31">
        <v>-5.59</v>
      </c>
      <c r="U49" s="26">
        <v>6516470</v>
      </c>
      <c r="W49" s="29">
        <f t="shared" si="24"/>
        <v>6646799.4000000004</v>
      </c>
      <c r="Y49" s="14">
        <f t="shared" si="22"/>
        <v>-334617</v>
      </c>
      <c r="Z49" s="11"/>
      <c r="AA49" s="14">
        <f t="shared" si="23"/>
        <v>-1647381</v>
      </c>
    </row>
    <row r="50" spans="1:27" ht="15.75" x14ac:dyDescent="0.25">
      <c r="A50" s="1" t="s">
        <v>49</v>
      </c>
      <c r="C50" s="26">
        <v>11757694</v>
      </c>
      <c r="E50" s="26">
        <v>12916426</v>
      </c>
      <c r="G50" s="26">
        <v>14328562</v>
      </c>
      <c r="I50" s="26">
        <v>12596193</v>
      </c>
      <c r="M50" s="31">
        <v>13.72</v>
      </c>
      <c r="U50" s="26">
        <v>12847582</v>
      </c>
      <c r="W50" s="29">
        <f t="shared" si="24"/>
        <v>13104533.640000001</v>
      </c>
      <c r="Y50" s="14">
        <f t="shared" si="22"/>
        <v>251389</v>
      </c>
      <c r="Z50" s="11"/>
      <c r="AA50" s="14">
        <f t="shared" si="23"/>
        <v>-1480980</v>
      </c>
    </row>
    <row r="51" spans="1:27" ht="15.75" x14ac:dyDescent="0.25">
      <c r="A51" s="1" t="s">
        <v>50</v>
      </c>
      <c r="C51" s="32">
        <v>4536174</v>
      </c>
      <c r="E51" s="32">
        <v>3779258</v>
      </c>
      <c r="G51" s="32">
        <v>4079902</v>
      </c>
      <c r="I51" s="32">
        <v>4661075</v>
      </c>
      <c r="M51" s="33">
        <v>-1.05</v>
      </c>
      <c r="U51" s="32">
        <v>4745296</v>
      </c>
      <c r="W51" s="34">
        <v>4849296</v>
      </c>
      <c r="Y51" s="17">
        <f t="shared" si="22"/>
        <v>84221</v>
      </c>
      <c r="Z51" s="11"/>
      <c r="AA51" s="17">
        <f t="shared" si="23"/>
        <v>665394</v>
      </c>
    </row>
    <row r="52" spans="1:27" x14ac:dyDescent="0.25">
      <c r="A52" s="35" t="s">
        <v>51</v>
      </c>
      <c r="C52" s="26">
        <f>SUM(C45:C51)</f>
        <v>105488300</v>
      </c>
      <c r="E52" s="26">
        <f>SUM(E45:E51)</f>
        <v>115254739</v>
      </c>
      <c r="G52" s="26">
        <f>SUM(G45:G51)</f>
        <v>130137421</v>
      </c>
      <c r="I52" s="26">
        <f>SUM(I45:I51)</f>
        <v>115530540</v>
      </c>
      <c r="M52" s="31">
        <f>SUM(M45:M51)</f>
        <v>53.510000000000005</v>
      </c>
      <c r="U52" s="26">
        <f>SUM(U45:U51)</f>
        <v>116920892</v>
      </c>
      <c r="W52" s="29">
        <f>SUM(W45:W51)</f>
        <v>119295403.72000001</v>
      </c>
      <c r="Y52" s="29">
        <f>SUM(Y45:Y51)</f>
        <v>1390352</v>
      </c>
      <c r="AA52" s="29">
        <f>SUM(AA45:AA51)</f>
        <v>-13216529</v>
      </c>
    </row>
    <row r="53" spans="1:27" x14ac:dyDescent="0.25">
      <c r="G53" s="26"/>
      <c r="I53" s="26"/>
      <c r="M53" s="31"/>
      <c r="U53" s="26"/>
    </row>
    <row r="54" spans="1:27" ht="15.75" x14ac:dyDescent="0.25">
      <c r="A54" s="1" t="s">
        <v>52</v>
      </c>
      <c r="C54" s="26">
        <v>32834933</v>
      </c>
      <c r="E54" s="26">
        <v>36859786</v>
      </c>
      <c r="G54" s="26">
        <v>35764001</v>
      </c>
      <c r="I54" s="26">
        <v>32368003</v>
      </c>
      <c r="M54" s="31">
        <v>-60.37</v>
      </c>
      <c r="U54" s="26">
        <v>36118426</v>
      </c>
      <c r="W54" s="29">
        <f t="shared" ref="W54:W55" si="25">U54*1.02</f>
        <v>36840794.520000003</v>
      </c>
      <c r="Y54" s="14">
        <f t="shared" ref="Y54:Y55" si="26">U54-I54</f>
        <v>3750423</v>
      </c>
      <c r="Z54" s="11"/>
      <c r="AA54" s="14">
        <f>U54-G54</f>
        <v>354425</v>
      </c>
    </row>
    <row r="55" spans="1:27" ht="15.75" x14ac:dyDescent="0.25">
      <c r="A55" s="1" t="s">
        <v>53</v>
      </c>
      <c r="C55" s="32">
        <v>8781945</v>
      </c>
      <c r="E55" s="32">
        <v>8619177</v>
      </c>
      <c r="G55" s="32">
        <v>9865662</v>
      </c>
      <c r="I55" s="32">
        <v>9033552</v>
      </c>
      <c r="M55" s="33">
        <v>15.19</v>
      </c>
      <c r="U55" s="32">
        <v>9660139</v>
      </c>
      <c r="W55" s="34">
        <f t="shared" si="25"/>
        <v>9853341.7799999993</v>
      </c>
      <c r="Y55" s="17">
        <f t="shared" si="26"/>
        <v>626587</v>
      </c>
      <c r="Z55" s="11"/>
      <c r="AA55" s="17">
        <f t="shared" ref="AA55" si="27">U55-G55</f>
        <v>-205523</v>
      </c>
    </row>
    <row r="56" spans="1:27" x14ac:dyDescent="0.25">
      <c r="A56" s="35" t="s">
        <v>51</v>
      </c>
      <c r="C56" s="29">
        <f>SUM(C54:C55)</f>
        <v>41616878</v>
      </c>
      <c r="E56" s="29">
        <f>SUM(E54:E55)</f>
        <v>45478963</v>
      </c>
      <c r="G56" s="29">
        <f>SUM(G54:G55)</f>
        <v>45629663</v>
      </c>
      <c r="I56" s="26">
        <f>SUM(I54:I55)</f>
        <v>41401555</v>
      </c>
      <c r="M56" s="31">
        <f>SUM(M54:M55)</f>
        <v>-45.18</v>
      </c>
      <c r="U56" s="26">
        <f>SUM(U54:U55)</f>
        <v>45778565</v>
      </c>
      <c r="W56" s="29">
        <f>SUM(W54:W55)</f>
        <v>46694136.300000004</v>
      </c>
      <c r="Y56" s="29">
        <f>SUM(Y54:Y55)</f>
        <v>4377010</v>
      </c>
      <c r="AA56" s="29">
        <f>SUM(AA54:AA55)</f>
        <v>148902</v>
      </c>
    </row>
    <row r="57" spans="1:27" x14ac:dyDescent="0.25">
      <c r="I57" s="26"/>
      <c r="M57" s="31"/>
      <c r="U57" s="26"/>
    </row>
    <row r="58" spans="1:27" ht="15.75" thickBot="1" x14ac:dyDescent="0.3">
      <c r="A58" s="35" t="s">
        <v>54</v>
      </c>
      <c r="C58" s="36">
        <f>C52+C56</f>
        <v>147105178</v>
      </c>
      <c r="E58" s="36">
        <f>E52+E56</f>
        <v>160733702</v>
      </c>
      <c r="G58" s="36">
        <f>G52+G56</f>
        <v>175767084</v>
      </c>
      <c r="I58" s="37">
        <f>I52+I56</f>
        <v>156932095</v>
      </c>
      <c r="M58" s="38">
        <v>9</v>
      </c>
      <c r="U58" s="36">
        <f>U52+U56</f>
        <v>162699457</v>
      </c>
      <c r="W58" s="36">
        <f>W52+W56</f>
        <v>165989540.02000001</v>
      </c>
      <c r="Y58" s="36">
        <f>Y52+Y56</f>
        <v>5767362</v>
      </c>
      <c r="AA58" s="36">
        <f>AA52+AA56</f>
        <v>-13067627</v>
      </c>
    </row>
    <row r="59" spans="1:27" ht="15.75" thickTop="1" x14ac:dyDescent="0.25"/>
    <row r="60" spans="1:27" x14ac:dyDescent="0.25">
      <c r="W60" s="1" t="s">
        <v>55</v>
      </c>
      <c r="AA60" s="2">
        <f>Y58/I58</f>
        <v>3.6750685065409981E-2</v>
      </c>
    </row>
    <row r="61" spans="1:27" x14ac:dyDescent="0.25">
      <c r="W61" s="1" t="s">
        <v>63</v>
      </c>
      <c r="AA61" s="2">
        <f>AA58/G58</f>
        <v>-7.4346269521089622E-2</v>
      </c>
    </row>
    <row r="63" spans="1:27" x14ac:dyDescent="0.25">
      <c r="AA63" s="2"/>
    </row>
    <row r="64" spans="1:27" x14ac:dyDescent="0.25">
      <c r="AA64" s="2"/>
    </row>
  </sheetData>
  <printOptions horizontalCentered="1"/>
  <pageMargins left="7.0000000000000001E-3" right="7.0000000000000001E-3" top="0.75" bottom="0.75" header="0.3" footer="0.3"/>
  <pageSetup paperSize="5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Service Unit Analysis</vt:lpstr>
      <vt:lpstr>'Service Unit Analysis'!Print_Area</vt:lpstr>
      <vt:lpstr>'Service Unit Analysis'!Print_Titles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WSUadm</dc:creator>
  <cp:lastModifiedBy>WSUadm</cp:lastModifiedBy>
  <cp:lastPrinted>2016-05-17T19:08:08Z</cp:lastPrinted>
  <dcterms:created xsi:type="dcterms:W3CDTF">2016-04-19T12:48:00Z</dcterms:created>
  <dcterms:modified xsi:type="dcterms:W3CDTF">2016-09-15T13:25:04Z</dcterms:modified>
</cp:coreProperties>
</file>