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tmp" ContentType="image/png"/>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mc:AlternateContent xmlns:mc="http://schemas.openxmlformats.org/markup-compatibility/2006">
    <mc:Choice Requires="x15">
      <x15ac:absPath xmlns:x15ac="http://schemas.microsoft.com/office/spreadsheetml/2010/11/ac" url="https://hubinternational4-my.sharepoint.com/personal/kerry_dunnahoo_hubinternational_com/Documents/DunnahooK/Documents/kecampbell/Groups/WSU/2025 projection/sold/"/>
    </mc:Choice>
  </mc:AlternateContent>
  <xr:revisionPtr revIDLastSave="25" documentId="8_{57FEF044-1A2D-4B31-A96D-5DCEFC124375}" xr6:coauthVersionLast="47" xr6:coauthVersionMax="47" xr10:uidLastSave="{D2690F31-DE68-43BC-9BFC-4DA36ABC0A03}"/>
  <workbookProtection workbookAlgorithmName="SHA-512" workbookHashValue="2+zplLL070MP9Q7LF60tLp6eSW9Cl0ZC0WIhJioCUG+3PxIaSc+iM4j+HlkT2K7gLN9lX9B4/CAxgzACKS+XSA==" workbookSaltValue="uEnxRwj25ijoxEXuir93LA==" workbookSpinCount="100000" lockStructure="1"/>
  <bookViews>
    <workbookView xWindow="28695" yWindow="0" windowWidth="26010" windowHeight="20985" firstSheet="1" activeTab="2" xr2:uid="{5FBD181C-9C85-42C8-9DFE-8FDF9B0517BB}"/>
  </bookViews>
  <sheets>
    <sheet name="Analyst Use Only" sheetId="1" state="hidden" r:id="rId1"/>
    <sheet name="Tutorial Detail" sheetId="8" r:id="rId2"/>
    <sheet name="Plan Comparison" sheetId="2" r:id="rId3"/>
    <sheet name="Plan Benefits" sheetId="7" r:id="rId4"/>
    <sheet name="Sheet1" sheetId="4" state="hidden" r:id="rId5"/>
  </sheets>
  <definedNames>
    <definedName name="HDHP_Coinsurance">'Analyst Use Only'!$F$15</definedName>
    <definedName name="_xlnm.Print_Area" localSheetId="2">'Plan Comparison'!$A$1:$N$49</definedName>
    <definedName name="Trad_Coinsurance">'Analyst Use Only'!$D$15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93" i="1" l="1"/>
  <c r="N92" i="1"/>
  <c r="N91" i="1"/>
  <c r="C56" i="1"/>
  <c r="C57" i="1"/>
  <c r="C58" i="1"/>
  <c r="C59" i="1"/>
  <c r="C60" i="1"/>
  <c r="C61" i="1"/>
  <c r="C62" i="1"/>
  <c r="C63" i="1"/>
  <c r="C64" i="1"/>
  <c r="C65" i="1"/>
  <c r="C55" i="1"/>
  <c r="M48" i="1"/>
  <c r="M49" i="1" s="1"/>
  <c r="L48" i="1"/>
  <c r="L49" i="1" s="1"/>
  <c r="M47" i="1"/>
  <c r="L47" i="1"/>
  <c r="D30" i="7" l="1"/>
  <c r="D5" i="7"/>
  <c r="AC53" i="1" l="1"/>
  <c r="AB53" i="1"/>
  <c r="AC52" i="1"/>
  <c r="AC51" i="1"/>
  <c r="AC50" i="1"/>
  <c r="M143" i="1" l="1"/>
  <c r="A31" i="7" l="1"/>
  <c r="A32" i="7"/>
  <c r="K3" i="2" l="1"/>
  <c r="AB51" i="1" l="1"/>
  <c r="AB52" i="1"/>
  <c r="AB50" i="1"/>
  <c r="L143" i="1" l="1"/>
  <c r="M142" i="1"/>
  <c r="M144" i="1" s="1"/>
  <c r="L142" i="1"/>
  <c r="C151" i="1"/>
  <c r="C152" i="1"/>
  <c r="C153" i="1"/>
  <c r="C154" i="1"/>
  <c r="C155" i="1"/>
  <c r="C156" i="1"/>
  <c r="C157" i="1"/>
  <c r="C158" i="1"/>
  <c r="C159" i="1"/>
  <c r="C160" i="1"/>
  <c r="C150" i="1"/>
  <c r="L144" i="1" l="1"/>
  <c r="C5" i="7"/>
  <c r="E5" i="7"/>
  <c r="AB49" i="1" l="1"/>
  <c r="A1" i="7"/>
  <c r="X31" i="1" l="1"/>
  <c r="X37" i="1" s="1"/>
  <c r="Z30" i="1"/>
  <c r="X32" i="1"/>
  <c r="X38" i="1" s="1"/>
  <c r="X33" i="1"/>
  <c r="X39" i="1" s="1"/>
  <c r="X30" i="1"/>
  <c r="X36" i="1" s="1"/>
  <c r="Z31" i="1"/>
  <c r="Z33" i="1"/>
  <c r="Y32" i="1"/>
  <c r="Y30" i="1"/>
  <c r="AC33" i="1"/>
  <c r="Z32" i="1"/>
  <c r="Y31" i="1"/>
  <c r="Y33" i="1"/>
  <c r="F161" i="1"/>
  <c r="F138" i="1"/>
  <c r="F114" i="1"/>
  <c r="F92" i="1"/>
  <c r="F66" i="1"/>
  <c r="F43" i="1"/>
  <c r="M97" i="1"/>
  <c r="L97" i="1"/>
  <c r="M96" i="1"/>
  <c r="L96" i="1"/>
  <c r="G17" i="1"/>
  <c r="G18" i="1"/>
  <c r="G19" i="1"/>
  <c r="G20" i="1"/>
  <c r="G21" i="1"/>
  <c r="G22" i="1"/>
  <c r="G23" i="1"/>
  <c r="G24" i="1"/>
  <c r="G25" i="1"/>
  <c r="G26" i="1"/>
  <c r="I17" i="1"/>
  <c r="I18" i="1"/>
  <c r="I16" i="1"/>
  <c r="K10" i="1"/>
  <c r="K9" i="1"/>
  <c r="K8" i="1"/>
  <c r="AB33" i="1" l="1"/>
  <c r="AC34" i="1" s="1"/>
  <c r="M98" i="1"/>
  <c r="L98" i="1"/>
  <c r="E10" i="2"/>
  <c r="E11" i="2"/>
  <c r="E12" i="2"/>
  <c r="E13" i="2"/>
  <c r="E14" i="2"/>
  <c r="E15" i="2"/>
  <c r="E16" i="2"/>
  <c r="E17" i="2"/>
  <c r="E18" i="2"/>
  <c r="E19" i="2"/>
  <c r="E9" i="2"/>
  <c r="S24" i="1"/>
  <c r="Z6" i="1" l="1"/>
  <c r="C103" i="1" s="1"/>
  <c r="Z10" i="1"/>
  <c r="C107" i="1"/>
  <c r="Z14" i="1"/>
  <c r="C111" i="1"/>
  <c r="Z15" i="1"/>
  <c r="C112" i="1"/>
  <c r="Z16" i="1"/>
  <c r="C113" i="1"/>
  <c r="Z11" i="1"/>
  <c r="C108" i="1"/>
  <c r="Z12" i="1"/>
  <c r="C109" i="1"/>
  <c r="Z13" i="1"/>
  <c r="C110" i="1"/>
  <c r="Y6" i="1"/>
  <c r="Y14" i="1"/>
  <c r="Y15" i="1"/>
  <c r="Y16" i="1"/>
  <c r="Y10" i="1"/>
  <c r="Y11" i="1"/>
  <c r="Y12" i="1"/>
  <c r="Y13" i="1"/>
  <c r="Z7" i="1"/>
  <c r="C104" i="1"/>
  <c r="Y36" i="1"/>
  <c r="Z36" i="1"/>
  <c r="Y37" i="1"/>
  <c r="Z37" i="1"/>
  <c r="Y38" i="1"/>
  <c r="Z38" i="1"/>
  <c r="Y39" i="1"/>
  <c r="Z39" i="1"/>
  <c r="E2" i="1"/>
  <c r="X6" i="1"/>
  <c r="B81" i="1"/>
  <c r="K16" i="1"/>
  <c r="L16" i="1"/>
  <c r="X7" i="1"/>
  <c r="B82" i="1"/>
  <c r="K17" i="1"/>
  <c r="L17" i="1"/>
  <c r="X8" i="1"/>
  <c r="B83" i="1"/>
  <c r="K18" i="1"/>
  <c r="L18" i="1"/>
  <c r="X9" i="1"/>
  <c r="B84" i="1"/>
  <c r="F84" i="1" s="1"/>
  <c r="K19" i="1"/>
  <c r="L19" i="1"/>
  <c r="X10" i="1"/>
  <c r="C36" i="1" s="1"/>
  <c r="B85" i="1"/>
  <c r="F85" i="1" s="1"/>
  <c r="K20" i="1"/>
  <c r="L20" i="1"/>
  <c r="X11" i="1"/>
  <c r="C37" i="1" s="1"/>
  <c r="B86" i="1"/>
  <c r="K21" i="1"/>
  <c r="X12" i="1"/>
  <c r="C38" i="1" s="1"/>
  <c r="B87" i="1"/>
  <c r="F87" i="1" s="1"/>
  <c r="K22" i="1"/>
  <c r="X13" i="1"/>
  <c r="C39" i="1" s="1"/>
  <c r="B88" i="1"/>
  <c r="K23" i="1"/>
  <c r="X14" i="1"/>
  <c r="C40" i="1" s="1"/>
  <c r="B89" i="1"/>
  <c r="F89" i="1" s="1"/>
  <c r="K24" i="1"/>
  <c r="X15" i="1"/>
  <c r="C41" i="1" s="1"/>
  <c r="B90" i="1"/>
  <c r="F90" i="1" s="1"/>
  <c r="K25" i="1"/>
  <c r="X16" i="1"/>
  <c r="C42" i="1" s="1"/>
  <c r="B91" i="1"/>
  <c r="F91" i="1" s="1"/>
  <c r="K26" i="1"/>
  <c r="C30" i="7"/>
  <c r="G16" i="1"/>
  <c r="B32" i="1"/>
  <c r="Y7" i="1"/>
  <c r="B33" i="1"/>
  <c r="Y8" i="1"/>
  <c r="B34" i="1"/>
  <c r="Y9" i="1"/>
  <c r="B35" i="1"/>
  <c r="B58" i="1" s="1"/>
  <c r="F58" i="1" s="1"/>
  <c r="B36" i="1"/>
  <c r="B37" i="1"/>
  <c r="B38" i="1"/>
  <c r="B61" i="1" s="1"/>
  <c r="F61" i="1" s="1"/>
  <c r="B39" i="1"/>
  <c r="B40" i="1"/>
  <c r="F40" i="1" s="1"/>
  <c r="B41" i="1"/>
  <c r="B64" i="1" s="1"/>
  <c r="F64" i="1" s="1"/>
  <c r="B42" i="1"/>
  <c r="B65" i="1" s="1"/>
  <c r="F65" i="1" s="1"/>
  <c r="E16" i="1" a="1"/>
  <c r="E16" i="1" s="1"/>
  <c r="F36" i="1"/>
  <c r="F37" i="1"/>
  <c r="F83" i="1"/>
  <c r="F86" i="1"/>
  <c r="F88" i="1"/>
  <c r="B103" i="1"/>
  <c r="B104" i="1"/>
  <c r="B105" i="1"/>
  <c r="B106" i="1"/>
  <c r="B107" i="1"/>
  <c r="B108" i="1"/>
  <c r="E108" i="1" s="1"/>
  <c r="B109" i="1"/>
  <c r="B110" i="1"/>
  <c r="B111" i="1"/>
  <c r="B112" i="1"/>
  <c r="B113" i="1"/>
  <c r="D113" i="1" s="1"/>
  <c r="G113" i="1" s="1"/>
  <c r="Z8" i="1"/>
  <c r="C105" i="1" s="1"/>
  <c r="Z9" i="1"/>
  <c r="C106" i="1" s="1"/>
  <c r="B55" i="1"/>
  <c r="B56" i="1"/>
  <c r="B59" i="1"/>
  <c r="F59" i="1" s="1"/>
  <c r="B60" i="1"/>
  <c r="F60" i="1" s="1"/>
  <c r="B62" i="1"/>
  <c r="F62" i="1" s="1"/>
  <c r="F107" i="1"/>
  <c r="F111" i="1"/>
  <c r="S28" i="1"/>
  <c r="S52" i="1" s="1"/>
  <c r="T28" i="1"/>
  <c r="S51" i="1" s="1"/>
  <c r="R28" i="1"/>
  <c r="S50" i="1" s="1"/>
  <c r="B127" i="1"/>
  <c r="F127" i="1" s="1"/>
  <c r="B128" i="1"/>
  <c r="B131" i="1"/>
  <c r="B132" i="1"/>
  <c r="B167" i="1"/>
  <c r="B144" i="1"/>
  <c r="E141" i="1"/>
  <c r="E164" i="1"/>
  <c r="B124" i="1"/>
  <c r="B29" i="1"/>
  <c r="F27" i="1"/>
  <c r="Q17" i="1"/>
  <c r="Q18" i="1"/>
  <c r="Q19" i="1"/>
  <c r="Q20" i="1"/>
  <c r="Q21" i="1"/>
  <c r="Q22" i="1"/>
  <c r="Q23" i="1"/>
  <c r="Q24" i="1"/>
  <c r="Q25" i="1"/>
  <c r="Q26" i="1"/>
  <c r="Q16" i="1"/>
  <c r="P17" i="1"/>
  <c r="P18" i="1"/>
  <c r="P19" i="1"/>
  <c r="P20" i="1"/>
  <c r="P21" i="1"/>
  <c r="P22" i="1"/>
  <c r="P23" i="1"/>
  <c r="P24" i="1"/>
  <c r="P25" i="1"/>
  <c r="P26" i="1"/>
  <c r="P16" i="1"/>
  <c r="Q34" i="1"/>
  <c r="E46" i="1"/>
  <c r="E69" i="1"/>
  <c r="B72" i="1"/>
  <c r="B49" i="1"/>
  <c r="F8" i="2"/>
  <c r="E21" i="2"/>
  <c r="D109" i="1" l="1"/>
  <c r="G109" i="1" s="1"/>
  <c r="C127" i="1"/>
  <c r="C32" i="1"/>
  <c r="C130" i="1"/>
  <c r="D130" i="1" s="1"/>
  <c r="C35" i="1"/>
  <c r="C129" i="1"/>
  <c r="E129" i="1" s="1"/>
  <c r="C34" i="1"/>
  <c r="D34" i="1" s="1"/>
  <c r="C128" i="1"/>
  <c r="E128" i="1" s="1"/>
  <c r="C33" i="1"/>
  <c r="D33" i="1" s="1"/>
  <c r="F42" i="1"/>
  <c r="D111" i="1"/>
  <c r="G111" i="1" s="1"/>
  <c r="D107" i="1"/>
  <c r="G107" i="1" s="1"/>
  <c r="F41" i="1"/>
  <c r="F35" i="1"/>
  <c r="B130" i="1"/>
  <c r="F38" i="1"/>
  <c r="F32" i="1"/>
  <c r="F81" i="1"/>
  <c r="B150" i="1"/>
  <c r="F150" i="1" s="1"/>
  <c r="F55" i="1"/>
  <c r="D39" i="1"/>
  <c r="E37" i="1"/>
  <c r="E110" i="1"/>
  <c r="E111" i="1"/>
  <c r="C90" i="1"/>
  <c r="D90" i="1" s="1"/>
  <c r="G90" i="1" s="1"/>
  <c r="C136" i="1"/>
  <c r="C88" i="1"/>
  <c r="D88" i="1" s="1"/>
  <c r="G88" i="1" s="1"/>
  <c r="C134" i="1"/>
  <c r="C86" i="1"/>
  <c r="E86" i="1" s="1"/>
  <c r="C132" i="1"/>
  <c r="E132" i="1" s="1"/>
  <c r="C85" i="1"/>
  <c r="D85" i="1" s="1"/>
  <c r="G85" i="1" s="1"/>
  <c r="C131" i="1"/>
  <c r="E131" i="1" s="1"/>
  <c r="C91" i="1"/>
  <c r="D91" i="1" s="1"/>
  <c r="G91" i="1" s="1"/>
  <c r="C137" i="1"/>
  <c r="D137" i="1" s="1"/>
  <c r="C89" i="1"/>
  <c r="D89" i="1" s="1"/>
  <c r="G89" i="1" s="1"/>
  <c r="C135" i="1"/>
  <c r="C87" i="1"/>
  <c r="D87" i="1" s="1"/>
  <c r="G87" i="1" s="1"/>
  <c r="C133" i="1"/>
  <c r="E105" i="1"/>
  <c r="E39" i="1"/>
  <c r="D37" i="1"/>
  <c r="C84" i="1"/>
  <c r="D84" i="1" s="1"/>
  <c r="G84" i="1" s="1"/>
  <c r="C83" i="1"/>
  <c r="D83" i="1" s="1"/>
  <c r="G83" i="1" s="1"/>
  <c r="C82" i="1"/>
  <c r="D82" i="1" s="1"/>
  <c r="G82" i="1" s="1"/>
  <c r="E41" i="1"/>
  <c r="Z29" i="1"/>
  <c r="Z35" i="1" s="1"/>
  <c r="B137" i="1"/>
  <c r="B136" i="1"/>
  <c r="B135" i="1"/>
  <c r="B134" i="1"/>
  <c r="B133" i="1"/>
  <c r="B129" i="1"/>
  <c r="F113" i="1"/>
  <c r="F109" i="1"/>
  <c r="B63" i="1"/>
  <c r="F63" i="1" s="1"/>
  <c r="B57" i="1"/>
  <c r="D104" i="1"/>
  <c r="G104" i="1" s="1"/>
  <c r="D41" i="1"/>
  <c r="F39" i="1"/>
  <c r="E36" i="1"/>
  <c r="E109" i="1"/>
  <c r="E113" i="1"/>
  <c r="E107" i="1"/>
  <c r="E42" i="1"/>
  <c r="E40" i="1"/>
  <c r="E38" i="1"/>
  <c r="C81" i="1"/>
  <c r="D81" i="1" s="1"/>
  <c r="G81" i="1" s="1"/>
  <c r="F103" i="1"/>
  <c r="D112" i="1"/>
  <c r="G112" i="1" s="1"/>
  <c r="D110" i="1"/>
  <c r="G110" i="1" s="1"/>
  <c r="D108" i="1"/>
  <c r="G108" i="1" s="1"/>
  <c r="Y29" i="1"/>
  <c r="Y35" i="1" s="1"/>
  <c r="X29" i="1"/>
  <c r="X35" i="1" s="1"/>
  <c r="D106" i="1"/>
  <c r="G106" i="1" s="1"/>
  <c r="F137" i="1"/>
  <c r="F136" i="1"/>
  <c r="F135" i="1"/>
  <c r="B157" i="1"/>
  <c r="F157" i="1" s="1"/>
  <c r="F133" i="1"/>
  <c r="F132" i="1"/>
  <c r="B155" i="1"/>
  <c r="F155" i="1" s="1"/>
  <c r="D105" i="1"/>
  <c r="G105" i="1" s="1"/>
  <c r="E112" i="1"/>
  <c r="E106" i="1"/>
  <c r="E104" i="1"/>
  <c r="B154" i="1"/>
  <c r="F154" i="1" s="1"/>
  <c r="B153" i="1"/>
  <c r="F153" i="1" s="1"/>
  <c r="B151" i="1"/>
  <c r="F151" i="1" s="1"/>
  <c r="F131" i="1"/>
  <c r="F130" i="1"/>
  <c r="F129" i="1"/>
  <c r="F128" i="1"/>
  <c r="F112" i="1"/>
  <c r="F110" i="1"/>
  <c r="F108" i="1"/>
  <c r="F105" i="1"/>
  <c r="F104" i="1"/>
  <c r="D42" i="1"/>
  <c r="D40" i="1"/>
  <c r="D38" i="1"/>
  <c r="D36" i="1"/>
  <c r="E18" i="1"/>
  <c r="F34" i="1" s="1"/>
  <c r="E17" i="1"/>
  <c r="F33" i="1" s="1"/>
  <c r="D32" i="1"/>
  <c r="S26" i="1"/>
  <c r="F106" i="1"/>
  <c r="F82" i="1"/>
  <c r="E61" i="1"/>
  <c r="E56" i="1"/>
  <c r="E62" i="1"/>
  <c r="D150" i="1"/>
  <c r="E60" i="1"/>
  <c r="E153" i="1"/>
  <c r="E32" i="1"/>
  <c r="D103" i="1"/>
  <c r="G103" i="1" s="1"/>
  <c r="E103" i="1"/>
  <c r="D55" i="1"/>
  <c r="E130" i="1" l="1"/>
  <c r="G130" i="1" s="1"/>
  <c r="D129" i="1"/>
  <c r="G39" i="1"/>
  <c r="D134" i="1"/>
  <c r="R33" i="1"/>
  <c r="T33" i="1"/>
  <c r="G40" i="1"/>
  <c r="E151" i="1"/>
  <c r="E155" i="1"/>
  <c r="G36" i="1"/>
  <c r="B152" i="1"/>
  <c r="F152" i="1" s="1"/>
  <c r="D132" i="1"/>
  <c r="G132" i="1" s="1"/>
  <c r="D136" i="1"/>
  <c r="S33" i="1"/>
  <c r="D86" i="1"/>
  <c r="G86" i="1" s="1"/>
  <c r="E134" i="1"/>
  <c r="E136" i="1"/>
  <c r="D57" i="1"/>
  <c r="E152" i="1"/>
  <c r="F134" i="1"/>
  <c r="B159" i="1"/>
  <c r="D159" i="1" s="1"/>
  <c r="G37" i="1"/>
  <c r="G41" i="1"/>
  <c r="G42" i="1"/>
  <c r="T30" i="1"/>
  <c r="E90" i="1"/>
  <c r="E89" i="1"/>
  <c r="D135" i="1"/>
  <c r="E137" i="1"/>
  <c r="G137" i="1" s="1"/>
  <c r="E88" i="1"/>
  <c r="E91" i="1"/>
  <c r="E87" i="1"/>
  <c r="G38" i="1"/>
  <c r="H114" i="1"/>
  <c r="E85" i="1"/>
  <c r="D133" i="1"/>
  <c r="D131" i="1"/>
  <c r="G131" i="1" s="1"/>
  <c r="E83" i="1"/>
  <c r="E81" i="1"/>
  <c r="E82" i="1"/>
  <c r="E57" i="1"/>
  <c r="E84" i="1"/>
  <c r="D128" i="1"/>
  <c r="G128" i="1" s="1"/>
  <c r="E34" i="1"/>
  <c r="G34" i="1" s="1"/>
  <c r="E157" i="1"/>
  <c r="D152" i="1"/>
  <c r="D63" i="1"/>
  <c r="B156" i="1"/>
  <c r="F156" i="1" s="1"/>
  <c r="E133" i="1"/>
  <c r="B158" i="1"/>
  <c r="F158" i="1" s="1"/>
  <c r="E135" i="1"/>
  <c r="B160" i="1"/>
  <c r="F160" i="1" s="1"/>
  <c r="E33" i="1"/>
  <c r="G33" i="1" s="1"/>
  <c r="E35" i="1"/>
  <c r="D35" i="1"/>
  <c r="E114" i="1"/>
  <c r="G129" i="1"/>
  <c r="F56" i="1"/>
  <c r="F57" i="1"/>
  <c r="E63" i="1"/>
  <c r="D60" i="1"/>
  <c r="G60" i="1" s="1"/>
  <c r="E160" i="1"/>
  <c r="D151" i="1"/>
  <c r="D61" i="1"/>
  <c r="G61" i="1" s="1"/>
  <c r="D62" i="1"/>
  <c r="G62" i="1" s="1"/>
  <c r="D56" i="1"/>
  <c r="D155" i="1"/>
  <c r="E64" i="1"/>
  <c r="D64" i="1"/>
  <c r="D153" i="1"/>
  <c r="G153" i="1" s="1"/>
  <c r="E150" i="1"/>
  <c r="G150" i="1" s="1"/>
  <c r="E58" i="1"/>
  <c r="D58" i="1"/>
  <c r="D156" i="1"/>
  <c r="E65" i="1"/>
  <c r="D65" i="1"/>
  <c r="D59" i="1"/>
  <c r="E59" i="1"/>
  <c r="D157" i="1"/>
  <c r="D154" i="1"/>
  <c r="E154" i="1"/>
  <c r="E55" i="1"/>
  <c r="G55" i="1" s="1"/>
  <c r="G32" i="1"/>
  <c r="G114" i="1"/>
  <c r="C118" i="1" s="1"/>
  <c r="D118" i="1" s="1"/>
  <c r="G115" i="1"/>
  <c r="E127" i="1"/>
  <c r="D127" i="1"/>
  <c r="G136" i="1" l="1"/>
  <c r="H92" i="1"/>
  <c r="C97" i="1" s="1"/>
  <c r="G97" i="1" s="1"/>
  <c r="T31" i="1" s="1"/>
  <c r="G134" i="1"/>
  <c r="G155" i="1"/>
  <c r="G151" i="1"/>
  <c r="G92" i="1"/>
  <c r="C96" i="1" s="1"/>
  <c r="G96" i="1" s="1"/>
  <c r="T29" i="1" s="1"/>
  <c r="G152" i="1"/>
  <c r="F159" i="1"/>
  <c r="E159" i="1"/>
  <c r="G63" i="1"/>
  <c r="G135" i="1"/>
  <c r="G133" i="1"/>
  <c r="E138" i="1"/>
  <c r="C144" i="1" s="1"/>
  <c r="G57" i="1"/>
  <c r="E92" i="1"/>
  <c r="G157" i="1"/>
  <c r="D158" i="1"/>
  <c r="D160" i="1"/>
  <c r="G160" i="1" s="1"/>
  <c r="E156" i="1"/>
  <c r="G156" i="1" s="1"/>
  <c r="E158" i="1"/>
  <c r="E43" i="1"/>
  <c r="C49" i="1" s="1"/>
  <c r="G35" i="1"/>
  <c r="G43" i="1" s="1"/>
  <c r="C47" i="1" s="1"/>
  <c r="G56" i="1"/>
  <c r="G154" i="1"/>
  <c r="E66" i="1"/>
  <c r="C72" i="1" s="1"/>
  <c r="G58" i="1"/>
  <c r="G64" i="1"/>
  <c r="G59" i="1"/>
  <c r="G65" i="1"/>
  <c r="G20" i="2"/>
  <c r="G127" i="1"/>
  <c r="H43" i="1" l="1"/>
  <c r="C48" i="1" s="1"/>
  <c r="C50" i="1" s="1"/>
  <c r="E48" i="1" s="1"/>
  <c r="G66" i="1"/>
  <c r="C70" i="1" s="1"/>
  <c r="E70" i="1" s="1"/>
  <c r="G159" i="1"/>
  <c r="F20" i="2"/>
  <c r="G158" i="1"/>
  <c r="H138" i="1"/>
  <c r="C143" i="1" s="1"/>
  <c r="C145" i="1" s="1"/>
  <c r="E143" i="1" s="1"/>
  <c r="G138" i="1"/>
  <c r="C142" i="1" s="1"/>
  <c r="E47" i="1"/>
  <c r="E161" i="1"/>
  <c r="C167" i="1" s="1"/>
  <c r="H66" i="1"/>
  <c r="C71" i="1" s="1"/>
  <c r="C73" i="1" s="1"/>
  <c r="C119" i="1"/>
  <c r="D119" i="1" s="1"/>
  <c r="G161" i="1" l="1"/>
  <c r="C165" i="1" s="1"/>
  <c r="E165" i="1" s="1"/>
  <c r="H161" i="1"/>
  <c r="C166" i="1" s="1"/>
  <c r="C168" i="1" s="1"/>
  <c r="E142" i="1"/>
  <c r="E71" i="1"/>
  <c r="E73" i="1" s="1"/>
  <c r="G48" i="1"/>
  <c r="R29" i="1" s="1"/>
  <c r="G143" i="1" l="1"/>
  <c r="S29" i="1" s="1"/>
  <c r="E166" i="1"/>
  <c r="E168" i="1" s="1"/>
  <c r="E145" i="1"/>
  <c r="G49" i="1"/>
  <c r="R31" i="1" s="1"/>
  <c r="R34" i="1" s="1"/>
  <c r="E50" i="1"/>
  <c r="G99" i="1"/>
  <c r="T34" i="1"/>
  <c r="G144" i="1" l="1"/>
  <c r="S31" i="1" s="1"/>
  <c r="S34" i="1" s="1"/>
  <c r="S35" i="1" s="1"/>
  <c r="R52" i="1" s="1"/>
  <c r="Q45" i="1"/>
  <c r="D47" i="2" s="1"/>
  <c r="R35" i="1"/>
  <c r="R50" i="1" s="1"/>
  <c r="G51" i="1"/>
  <c r="T35" i="1"/>
  <c r="R51" i="1" s="1"/>
  <c r="G146" i="1" l="1"/>
  <c r="R54" i="1"/>
  <c r="S54" i="1" s="1"/>
  <c r="Q47" i="1" s="1"/>
  <c r="J32"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Kerry Dunnahoo, CPBS</author>
    <author>Kerry Dunnahoo</author>
  </authors>
  <commentList>
    <comment ref="G7" authorId="0" shapeId="0" xr:uid="{BA8F718E-D32A-4894-A80A-B0DFFBD94667}">
      <text>
        <r>
          <rPr>
            <b/>
            <sz val="9"/>
            <color indexed="81"/>
            <rFont val="Tahoma"/>
            <family val="2"/>
          </rPr>
          <t>Kerry Dunnahoo, CPBS:</t>
        </r>
        <r>
          <rPr>
            <sz val="9"/>
            <color indexed="81"/>
            <rFont val="Tahoma"/>
            <family val="2"/>
          </rPr>
          <t xml:space="preserve">
changing oops to match IRS minimums for 2025</t>
        </r>
      </text>
    </comment>
    <comment ref="D8" authorId="1" shapeId="0" xr:uid="{AFF924BE-2E99-4094-9819-F692E58C4C99}">
      <text>
        <r>
          <rPr>
            <b/>
            <sz val="9"/>
            <color indexed="81"/>
            <rFont val="Tahoma"/>
            <family val="2"/>
          </rPr>
          <t>Kerry Dunnahoo:</t>
        </r>
        <r>
          <rPr>
            <sz val="9"/>
            <color indexed="81"/>
            <rFont val="Tahoma"/>
            <family val="2"/>
          </rPr>
          <t xml:space="preserve">
for final 2023 benefits, see "WSU 2023 Plan designs - Rev 10.3.22"</t>
        </r>
      </text>
    </comment>
    <comment ref="C32" authorId="0" shapeId="0" xr:uid="{D0D4289A-6099-42EE-97AA-13FA7A64263C}">
      <text>
        <r>
          <rPr>
            <b/>
            <sz val="9"/>
            <color indexed="81"/>
            <rFont val="Tahoma"/>
            <family val="2"/>
          </rPr>
          <t>Kerry Dunnahoo, CPBS:</t>
        </r>
        <r>
          <rPr>
            <sz val="9"/>
            <color indexed="81"/>
            <rFont val="Tahoma"/>
            <family val="2"/>
          </rPr>
          <t xml:space="preserve">
blue highlight = edited formula to match PPO 80/20 formulas</t>
        </r>
      </text>
    </comment>
    <comment ref="X52" authorId="0" shapeId="0" xr:uid="{B6388B42-BB1D-4E56-B77E-215F5153F567}">
      <text>
        <r>
          <rPr>
            <b/>
            <sz val="9"/>
            <color indexed="81"/>
            <rFont val="Tahoma"/>
            <family val="2"/>
          </rPr>
          <t>Kerry Dunnahoo, CPBS:</t>
        </r>
        <r>
          <rPr>
            <sz val="9"/>
            <color indexed="81"/>
            <rFont val="Tahoma"/>
            <family val="2"/>
          </rPr>
          <t xml:space="preserve">
WSU has these reversed</t>
        </r>
      </text>
    </comment>
    <comment ref="R54" authorId="0" shapeId="0" xr:uid="{18708977-5F69-4BBA-8B23-8686649140DF}">
      <text>
        <r>
          <rPr>
            <b/>
            <sz val="9"/>
            <color indexed="81"/>
            <rFont val="Tahoma"/>
            <family val="2"/>
          </rPr>
          <t>Kerry Dunnahoo, CPBS:</t>
        </r>
        <r>
          <rPr>
            <sz val="9"/>
            <color indexed="81"/>
            <rFont val="Tahoma"/>
            <family val="2"/>
          </rPr>
          <t xml:space="preserve">
adjusted to include Blue HPN in the selection</t>
        </r>
      </text>
    </comment>
  </commentList>
</comments>
</file>

<file path=xl/sharedStrings.xml><?xml version="1.0" encoding="utf-8"?>
<sst xmlns="http://schemas.openxmlformats.org/spreadsheetml/2006/main" count="710" uniqueCount="343">
  <si>
    <t>Benefit Summary</t>
  </si>
  <si>
    <t>Deductible</t>
  </si>
  <si>
    <t>Out-of-Pocket Maximum</t>
  </si>
  <si>
    <t>Inpatient Hospital</t>
  </si>
  <si>
    <t>Outpatient</t>
  </si>
  <si>
    <t>Therapy</t>
  </si>
  <si>
    <t>Urgent Care</t>
  </si>
  <si>
    <t>Specialist</t>
  </si>
  <si>
    <t>Yes</t>
  </si>
  <si>
    <t>No</t>
  </si>
  <si>
    <t>Single</t>
  </si>
  <si>
    <t>Family</t>
  </si>
  <si>
    <t>Is the HDHP Embedded?</t>
  </si>
  <si>
    <t>Diagnostic Labs</t>
  </si>
  <si>
    <t>Emergency Room</t>
  </si>
  <si>
    <t>Primary Care</t>
  </si>
  <si>
    <t>Sub</t>
  </si>
  <si>
    <t>Rx Tier 1</t>
  </si>
  <si>
    <t>Rx Tier 2</t>
  </si>
  <si>
    <t>Rx Tier 3</t>
  </si>
  <si>
    <t>copay</t>
  </si>
  <si>
    <t>Charge</t>
  </si>
  <si>
    <t>coin</t>
  </si>
  <si>
    <t>Ded</t>
  </si>
  <si>
    <t>OOP</t>
  </si>
  <si>
    <t>copays that count towards plan OOP max</t>
  </si>
  <si>
    <t>ded</t>
  </si>
  <si>
    <t>oop</t>
  </si>
  <si>
    <t>Total</t>
  </si>
  <si>
    <t>Total count towards moop</t>
  </si>
  <si>
    <t>Coinsurance</t>
  </si>
  <si>
    <t>ee</t>
  </si>
  <si>
    <t>d1</t>
  </si>
  <si>
    <t>total</t>
  </si>
  <si>
    <t>D1</t>
  </si>
  <si>
    <t>Do PPO Rx copays count towards plan out of pocket maximum?</t>
  </si>
  <si>
    <t>after Ded copays</t>
  </si>
  <si>
    <t>Other Out of Pocket Expenses</t>
  </si>
  <si>
    <t>Annual Premium Deductions</t>
  </si>
  <si>
    <t>* This tool is for illustrative purposes only. Charges per procedure may vary drastically from Horan's assumptions.</t>
  </si>
  <si>
    <r>
      <t xml:space="preserve">Copays that do not count towards </t>
    </r>
    <r>
      <rPr>
        <i/>
        <sz val="11"/>
        <color indexed="8"/>
        <rFont val="Garamond"/>
        <family val="1"/>
      </rPr>
      <t>plan</t>
    </r>
    <r>
      <rPr>
        <sz val="11"/>
        <color indexed="8"/>
        <rFont val="Garamond"/>
        <family val="1"/>
      </rPr>
      <t xml:space="preserve"> OOP max</t>
    </r>
  </si>
  <si>
    <t>HDHP Copays</t>
  </si>
  <si>
    <t>Fine needle aspiration w/imaging guidance</t>
  </si>
  <si>
    <t>Removal of damaged skin; partial thickness</t>
  </si>
  <si>
    <t>Removal of damaged skin; full thickness</t>
  </si>
  <si>
    <t>Removal of damaged skin &amp; underlying tissue</t>
  </si>
  <si>
    <t>Removal of damaged tissue &amp; muscle</t>
  </si>
  <si>
    <t>Simple repair of superficial wounds; 2.5 cm/&lt;</t>
  </si>
  <si>
    <t>(scalp, neck, genitalia, trunk, arms, legs)</t>
  </si>
  <si>
    <t>Simple repair of superficial wounds; 2.6 – 7.5 cm</t>
  </si>
  <si>
    <t>(face, eyelids, ears, nose lips or mucous membranes)</t>
  </si>
  <si>
    <t>Acellular xenograft implant; first 100 sq cm or less</t>
  </si>
  <si>
    <t>or 1% of body area of infants &amp; children</t>
  </si>
  <si>
    <t>Dressing or removal or partial thickness burns;</t>
  </si>
  <si>
    <t>less than 5% body area</t>
  </si>
  <si>
    <t>Breast biopsy with vacuum assisted rotating device</t>
  </si>
  <si>
    <t>Removal of 1 or more cyst, fibroadema, benign or</t>
  </si>
  <si>
    <t>malignant tumor, abnormal breast tissue, duct, nipple or areolar lesion</t>
  </si>
  <si>
    <t>Removal of 1 breast lesion by identified</t>
  </si>
  <si>
    <t>preoperative placement of radiological marker</t>
  </si>
  <si>
    <t>Deep implant removal</t>
  </si>
  <si>
    <t>(eg. pin, wire, screw, nail, rod, or plate)</t>
  </si>
  <si>
    <t>Treatment of fracture/dislocation or arm/wrist;</t>
  </si>
  <si>
    <t>with manipulation</t>
  </si>
  <si>
    <t>Tendon sheath incision of fingers/hand</t>
  </si>
  <si>
    <t>Strapping unna boot; foot</t>
  </si>
  <si>
    <t>Arthroscopy; knee surgery with meniscus removal,</t>
  </si>
  <si>
    <t>medial or lateral, including shaving</t>
  </si>
  <si>
    <t>Arthroscopy; knee surgery with meniscus repair,</t>
  </si>
  <si>
    <t>medial or lateral</t>
  </si>
  <si>
    <t>Simple anterior nose bleed control</t>
  </si>
  <si>
    <t>Endoscopy of larynx;</t>
  </si>
  <si>
    <t>flexible or rigid fiberoptic with strobe</t>
  </si>
  <si>
    <t>Lung or mediastinum biopsy</t>
  </si>
  <si>
    <t>with percutaneous needle</t>
  </si>
  <si>
    <t>trunk or branches</t>
  </si>
  <si>
    <t>femoral-popliteal</t>
  </si>
  <si>
    <t>Introduction of catheter, aorta</t>
  </si>
  <si>
    <t>Blood or blood component transfusion</t>
  </si>
  <si>
    <t>Placement of implatable venous access device;</t>
  </si>
  <si>
    <t>5YR/&gt;</t>
  </si>
  <si>
    <t>Biopsy/excision cervical lymph nodes</t>
  </si>
  <si>
    <t>Tonsillectomy &amp; adenoidectomy, under 12YR</t>
  </si>
  <si>
    <t>Tonsillectomy &amp; adnoidectomy, 12YR/&gt;</t>
  </si>
  <si>
    <t>Tonsillectomy, 12YR/&gt;</t>
  </si>
  <si>
    <t>Adnoidectomy, under 12YR</t>
  </si>
  <si>
    <t>Upper stomach/intestine scope for diagnosis</t>
  </si>
  <si>
    <t>Upper stomach/intestine scope with injections</t>
  </si>
  <si>
    <t>Upper stomach/intestine scope for biopsy</t>
  </si>
  <si>
    <t>Opening of esophagus</t>
  </si>
  <si>
    <t>Scope of sigmoid colon for diagnosis</t>
  </si>
  <si>
    <t>Scope of colon for diagnosis</t>
  </si>
  <si>
    <t>Scope of colon with biopsy</t>
  </si>
  <si>
    <t>COLSC FLX SPLENI FLXR</t>
  </si>
  <si>
    <t>RMVL LES CAUT</t>
  </si>
  <si>
    <t>RMVL LES SNARE TQ</t>
  </si>
  <si>
    <t>Destruction of internal hemorrhoid</t>
  </si>
  <si>
    <t>with thermal energy</t>
  </si>
  <si>
    <t>Needle biopsy of liver</t>
  </si>
  <si>
    <t>PRITONEOCNTS ABDL</t>
  </si>
  <si>
    <t>PCNTS/PRTL LVG 1st</t>
  </si>
  <si>
    <t>Laparoscopic procedure of abdomen/peritoneum/</t>
  </si>
  <si>
    <t>omentum,+/- specime, brushing or washing</t>
  </si>
  <si>
    <t>Umbilical hernia repair, 5YR/&gt;</t>
  </si>
  <si>
    <t>Uroflowmetric evaluation, complex</t>
  </si>
  <si>
    <t>Scope bladder, removal of lesions, small</t>
  </si>
  <si>
    <t>Prostate needle biopsy, any approach</t>
  </si>
  <si>
    <t>CATHJ&amp;INTRO SALINE NFS SHG/HSG</t>
  </si>
  <si>
    <t>&amp; /or ovary(s, 250g&lt;/</t>
  </si>
  <si>
    <t>Hysterscopy with biopsy of endometrium</t>
  </si>
  <si>
    <t>&amp; /or polypectomy</t>
  </si>
  <si>
    <t>Hysterscopy with endometrial ablation</t>
  </si>
  <si>
    <t>tubes &amp;/or ovaries</t>
  </si>
  <si>
    <t>LAPS FLUG/EXC Ovary Viscera/PRTL SURF</t>
  </si>
  <si>
    <t>Laparoscopic with occlusion of oviducts by device</t>
  </si>
  <si>
    <t>Surgical treatment of miscarriage, first trimester</t>
  </si>
  <si>
    <t>Unlisted maternity care and delivery</t>
  </si>
  <si>
    <t>Diagnostic spinal procedure of the lumbar</t>
  </si>
  <si>
    <t>Spinal injection procedure for myelography</t>
  </si>
  <si>
    <t>or tomography</t>
  </si>
  <si>
    <t>Carpal tunnel treatment, neuroplasty or</t>
  </si>
  <si>
    <t>transposition of median nerve</t>
  </si>
  <si>
    <t>Cataract Removal, with insertion of lense</t>
  </si>
  <si>
    <t>Ear drum procedure, tympanostomy</t>
  </si>
  <si>
    <t>with anethesia</t>
  </si>
  <si>
    <t>Ear drum procedure, tympanic membrane repair</t>
  </si>
  <si>
    <t>without mastoidectomy, initial revision</t>
  </si>
  <si>
    <t>Service</t>
  </si>
  <si>
    <t>You Pay</t>
  </si>
  <si>
    <t>Appendectomy</t>
  </si>
  <si>
    <t>Appendectomy (complicated diagnosis)</t>
  </si>
  <si>
    <t>Cardiovascular Drug-Coated Stent Placement</t>
  </si>
  <si>
    <t>Ear, Nose and Throat Surgical Procedure</t>
  </si>
  <si>
    <t>Extracranial Procedure</t>
  </si>
  <si>
    <t>Female Organ Surgery (non-cancerous)</t>
  </si>
  <si>
    <t>Female Reproductive Surgery</t>
  </si>
  <si>
    <t>Gastrointestinal Surgeries</t>
  </si>
  <si>
    <t>Hernia Procedure</t>
  </si>
  <si>
    <t>Hip and Femur Surgeries</t>
  </si>
  <si>
    <t>Joint Replacement</t>
  </si>
  <si>
    <t>Laparoscopy</t>
  </si>
  <si>
    <t>Lower Extremity Procedure</t>
  </si>
  <si>
    <t>(except hip, foot or femur)</t>
  </si>
  <si>
    <t>Male Pelvic Procedure</t>
  </si>
  <si>
    <t>Mastectomy</t>
  </si>
  <si>
    <t>Minor Upper Joint Procedure</t>
  </si>
  <si>
    <t>General Back and Neck Surgery</t>
  </si>
  <si>
    <t>General Musculoskeletal Procedure</t>
  </si>
  <si>
    <t>General Vascular Procedure</t>
  </si>
  <si>
    <t>Prostatectomy</t>
  </si>
  <si>
    <t>Surgery Related to Obesity</t>
  </si>
  <si>
    <t>Surgery Related to the Kidney</t>
  </si>
  <si>
    <t>Thyroid Procedures</t>
  </si>
  <si>
    <t>Column1</t>
  </si>
  <si>
    <t>Mean</t>
  </si>
  <si>
    <t>Standard Error</t>
  </si>
  <si>
    <t>Median</t>
  </si>
  <si>
    <t>Mode</t>
  </si>
  <si>
    <t>Standard Deviation</t>
  </si>
  <si>
    <t>Sample Variance</t>
  </si>
  <si>
    <t>Kurtosis</t>
  </si>
  <si>
    <t>Skewness</t>
  </si>
  <si>
    <t>Range</t>
  </si>
  <si>
    <t>Minimum</t>
  </si>
  <si>
    <t>Maximum</t>
  </si>
  <si>
    <t>Sum</t>
  </si>
  <si>
    <t>Count</t>
  </si>
  <si>
    <t>Total Bilirubin</t>
  </si>
  <si>
    <t>Bleeding Time</t>
  </si>
  <si>
    <t>Basal Metabolic Panel (BMP)</t>
  </si>
  <si>
    <t>Complete Blood Count (CBC)</t>
  </si>
  <si>
    <t>Glucose</t>
  </si>
  <si>
    <t>Lipid Panel/Cardiac Risk Profile</t>
  </si>
  <si>
    <t>Serum Pregnancy Test</t>
  </si>
  <si>
    <t>Creatine</t>
  </si>
  <si>
    <t>PAP Smear</t>
  </si>
  <si>
    <t>Hemoglobin A1C</t>
  </si>
  <si>
    <t>Ferritin</t>
  </si>
  <si>
    <t>TSH</t>
  </si>
  <si>
    <t>Hepatitis Panel</t>
  </si>
  <si>
    <t>Lipase</t>
  </si>
  <si>
    <t>Liver Function (Hepatic Function Panel)</t>
  </si>
  <si>
    <t>Microalbumin</t>
  </si>
  <si>
    <t>Prenatal Profile</t>
  </si>
  <si>
    <t>Immune System Test</t>
  </si>
  <si>
    <t>Comprehensive Metabolic Panel</t>
  </si>
  <si>
    <t>PSA Screening (Prostate)</t>
  </si>
  <si>
    <t>GC/Chlamydia</t>
  </si>
  <si>
    <t>Single Drug Screen – Blood (for medical purposes only)</t>
  </si>
  <si>
    <t>HPV</t>
  </si>
  <si>
    <t>Testosterone, Total</t>
  </si>
  <si>
    <t>PSA Diagnostic (Prostate)</t>
  </si>
  <si>
    <t>Troponin</t>
  </si>
  <si>
    <t>Urinalysis</t>
  </si>
  <si>
    <t>Urine Pregnancy Test</t>
  </si>
  <si>
    <t>Vitamin D25</t>
  </si>
  <si>
    <t>Emergency Dept. Category 1</t>
  </si>
  <si>
    <t>Emergency Dept. Category 2</t>
  </si>
  <si>
    <t>Emergency Dept. Category 3</t>
  </si>
  <si>
    <t>Emergency Dept. Category 4</t>
  </si>
  <si>
    <t>Emergency Dept. Category 5</t>
  </si>
  <si>
    <t>Emergency Dept. Category 6</t>
  </si>
  <si>
    <t>Assessment</t>
  </si>
  <si>
    <t>Bed Mobility Training</t>
  </si>
  <si>
    <t>Cervical Traction</t>
  </si>
  <si>
    <t>Cervical Traction (with hot/cold pack)</t>
  </si>
  <si>
    <t>Coordination Training (15 min.)</t>
  </si>
  <si>
    <t>Diathermy</t>
  </si>
  <si>
    <t>Electrical Stimulation (15 min.)</t>
  </si>
  <si>
    <t>Electrical Stimulation (with hot/cold pack-15 min.)</t>
  </si>
  <si>
    <t>Electrical Stimulation for Chronic Wounds</t>
  </si>
  <si>
    <t>Functional Training (15 min.)</t>
  </si>
  <si>
    <t>Gait Training (15 min.)</t>
  </si>
  <si>
    <t>Iontophoresis (1 site)</t>
  </si>
  <si>
    <t>(electric current introduces ions of a medicine</t>
  </si>
  <si>
    <t>into the tissues)</t>
  </si>
  <si>
    <t>Iontophoresis (2 sites)</t>
  </si>
  <si>
    <t>Manual Therapy (15 min.)</t>
  </si>
  <si>
    <t>Manual Therapy (with hot/cold pack-15 min.)</t>
  </si>
  <si>
    <t>Orthotic Evaluation/Training</t>
  </si>
  <si>
    <t>Pelvic Traction</t>
  </si>
  <si>
    <t>Pelvic Traction (with hot pack)</t>
  </si>
  <si>
    <t>Pre-Op Evaluation/Training</t>
  </si>
  <si>
    <t>Therapeutic Exercise (15 min.)</t>
  </si>
  <si>
    <t>Therapeutic Exercise (with hot/cold pack)</t>
  </si>
  <si>
    <t>Instruction for Home Use of TENS (electrical stimulation) Unit</t>
  </si>
  <si>
    <t>Transfer Training (15 min.)</t>
  </si>
  <si>
    <t>Ultrasound/Phonophoresis (15 min.)</t>
  </si>
  <si>
    <t>Wheelchair Mobility (15 min.)</t>
  </si>
  <si>
    <t>Supervised Exercise</t>
  </si>
  <si>
    <t>OT Evaluation</t>
  </si>
  <si>
    <t>OT Pre-Op Instruction</t>
  </si>
  <si>
    <t>Functional Therapeutic Activity</t>
  </si>
  <si>
    <t>Cognition/Perception</t>
  </si>
  <si>
    <t>Muscle Re-Education (15 min.)</t>
  </si>
  <si>
    <t>Sensory Integration</t>
  </si>
  <si>
    <t>Therapeutic Exercise</t>
  </si>
  <si>
    <t>OT Wound Care</t>
  </si>
  <si>
    <t>Paraffin Bath</t>
  </si>
  <si>
    <t>OT Electrical Stimulation (15 min.)</t>
  </si>
  <si>
    <t>OT Electrical Stimulation Attended</t>
  </si>
  <si>
    <t>OT Iontophoresis (1 site)</t>
  </si>
  <si>
    <t>OT Iontophoresis (2 sites)</t>
  </si>
  <si>
    <t>OT Manual Therapy (15 min.)</t>
  </si>
  <si>
    <t>OT Manual Therapy (15 min. with hot/cold pack)</t>
  </si>
  <si>
    <t>Ultrasound/Phonophoresis</t>
  </si>
  <si>
    <t>Contrast Bath</t>
  </si>
  <si>
    <t>Re-check Orthotic</t>
  </si>
  <si>
    <t>Fluidotherapy OP</t>
  </si>
  <si>
    <t>OT Supervised Exercise</t>
  </si>
  <si>
    <t>Standard Cognitive Performance</t>
  </si>
  <si>
    <t>Myofunctional Treatment</t>
  </si>
  <si>
    <t>Swallowing Evaluation</t>
  </si>
  <si>
    <t>Swallowing Treatment</t>
  </si>
  <si>
    <t>Voice Treatment</t>
  </si>
  <si>
    <t>Anthem DATA</t>
  </si>
  <si>
    <t>Discounted charge</t>
  </si>
  <si>
    <t>Tier? FORMULA</t>
  </si>
  <si>
    <t>HDHP</t>
  </si>
  <si>
    <t xml:space="preserve">Step 2: </t>
  </si>
  <si>
    <t>Step 1:</t>
  </si>
  <si>
    <t>Is the HDHP Embedded Formula?</t>
  </si>
  <si>
    <t>To begin using the tool, please proceed to the "Plan Comparison" tab.</t>
  </si>
  <si>
    <t>Notes:</t>
  </si>
  <si>
    <t>Your expected utilization should be the numbers of times you expect to use a benefit, not the expected cost.</t>
  </si>
  <si>
    <t>Primary Care (Non-Preventive)</t>
  </si>
  <si>
    <t>All Others</t>
  </si>
  <si>
    <t xml:space="preserve"> - Member 1: Highest Utilizing/Most Expensive Member</t>
  </si>
  <si>
    <t xml:space="preserve"> - All Others: Total Utilization for All Other Members</t>
  </si>
  <si>
    <t>Input Notes:</t>
  </si>
  <si>
    <t>H.S.A. Employer Annual Contributions:</t>
  </si>
  <si>
    <t>Utilization costs are determined based on averages from various sources. An individual will experience different costs depending on actual services, providers, and diagnosis.</t>
  </si>
  <si>
    <t>*Benefits presented above are a high-level summary. Please refer to SBCs for detailed plan information.</t>
  </si>
  <si>
    <t>Employee + Spouse</t>
  </si>
  <si>
    <t>Employee + Child(ren)</t>
  </si>
  <si>
    <t>HRA/HSA Employer Annual Contributions:</t>
  </si>
  <si>
    <t>DED</t>
  </si>
  <si>
    <t>OOPM</t>
  </si>
  <si>
    <t>Monthly Rates</t>
  </si>
  <si>
    <t>Ded, 20%</t>
  </si>
  <si>
    <t>In-Network Summary</t>
  </si>
  <si>
    <t>2. Utilization costs are determined based on averages from various sources and assume 100% In-Network utilization. An individual will experience different costs depending on actual services, providers, and diagnosis.</t>
  </si>
  <si>
    <t>ANNUAL RATES</t>
  </si>
  <si>
    <t/>
  </si>
  <si>
    <t>DELETE</t>
  </si>
  <si>
    <t>delete</t>
  </si>
  <si>
    <t>3. The model considers total expected cost for the 12-month period but does not account for timing of utilization.</t>
  </si>
  <si>
    <t xml:space="preserve"> - All Others could include multiple family members or just the second highest plan utilizer. In either circumstance the tool is still able to provide direction but is not meant to accurately predict costs for each employee and his or her dependents.</t>
  </si>
  <si>
    <t>PPO 80/20</t>
  </si>
  <si>
    <t>HSA</t>
  </si>
  <si>
    <t>Staff</t>
  </si>
  <si>
    <t>Plan Comparison Tool - Medical and Pharmacy Benefits</t>
  </si>
  <si>
    <r>
      <rPr>
        <b/>
        <u/>
        <sz val="16"/>
        <color rgb="FFFF0000"/>
        <rFont val="Garamond"/>
        <family val="1"/>
      </rPr>
      <t>PLEASE NOTE:</t>
    </r>
    <r>
      <rPr>
        <b/>
        <sz val="16"/>
        <color rgb="FFFF0000"/>
        <rFont val="Garamond"/>
        <family val="1"/>
      </rPr>
      <t xml:space="preserve"> This tool is meant to be a cost estimator that helps direct employees toward selecting the most cost effective benefits for themselves and their dependents. The tool is not meant to accurately predict costs for each employee and his or her dependents. Cost estimates are based on averages and in-network utilization. Cost estimates will vary based on actual services, providers, and diagnosis.</t>
    </r>
  </si>
  <si>
    <t>Tutorial</t>
  </si>
  <si>
    <t>Enrollment Tier:</t>
  </si>
  <si>
    <t>Type in your expected utilization (Utilization is how you expect to use the plan/benefits. For example, if you expect to have 1 outpatient visit, 1 primary care visit, and 4 prescriptions - all of that together is your expected plan utilization).</t>
  </si>
  <si>
    <t>EXAMPLE: If you expect to have an Inpatient Stay, type 1 in the appropriate space provided. Do not type what you would expect the cost to be.</t>
  </si>
  <si>
    <r>
      <t xml:space="preserve">If you select "Family" please input utilization for the </t>
    </r>
    <r>
      <rPr>
        <b/>
        <u/>
        <sz val="14"/>
        <color rgb="FF00479E"/>
        <rFont val="Garamond"/>
        <family val="1"/>
      </rPr>
      <t>most expensive member</t>
    </r>
    <r>
      <rPr>
        <b/>
        <sz val="14"/>
        <color rgb="FF00479E"/>
        <rFont val="Garamond"/>
        <family val="1"/>
      </rPr>
      <t xml:space="preserve"> as "Member 1" and total utilization for all other members as "All Others." </t>
    </r>
  </si>
  <si>
    <t>Wright State University</t>
  </si>
  <si>
    <t>Make selections regarding Enrollment Tier and Salary Tier</t>
  </si>
  <si>
    <t>Salary Tier:</t>
  </si>
  <si>
    <t>Inpatient Example: Surgery at a hospital that results in spending 1 or more nights at the hospital</t>
  </si>
  <si>
    <t>Outpatient Example: Surgery at a hospital that does not result in spending a night at the hospital</t>
  </si>
  <si>
    <t>What tier are you enrolling in (Click drop down)?</t>
  </si>
  <si>
    <t>What is your salary tier (Click drop down)?</t>
  </si>
  <si>
    <t>Pharmacy Benefits (Retail)</t>
  </si>
  <si>
    <t>1. The model accounts for expected costs in payroll deductions for all plans and for H.S.A. contributions of $500/Single and $1,000/All Others for those enrolled in the HSA plan.</t>
  </si>
  <si>
    <t>Embedded?</t>
  </si>
  <si>
    <t>Embedded or Non-Embedded</t>
  </si>
  <si>
    <t>Non-Embedded</t>
  </si>
  <si>
    <t>$10 Copay</t>
  </si>
  <si>
    <t>**For prescription drug benefits, the model does not accommodate coinsurance + max restraints. As a result, the following assumptions have been made for estimating drug expenses:</t>
  </si>
  <si>
    <t>$50 Copay</t>
  </si>
  <si>
    <t>Rx Tier 1 (Generic)</t>
  </si>
  <si>
    <t>Rx Tier 2 (Brand Formulary)</t>
  </si>
  <si>
    <t>Rx Tier 2 (Brand Formulary)**</t>
  </si>
  <si>
    <t xml:space="preserve"> - The tool does not currently accommodate inputs for Tier 4 prescription drugs. Please input expected Tier 4 Utilization in the spaces corresponding to Rx Tier 3.</t>
  </si>
  <si>
    <t>- - Select One - -</t>
  </si>
  <si>
    <t>Enter the number of expected occurrences in the table:</t>
  </si>
  <si>
    <t>Rx Tier 3/4 (Brand Non-Formulary/
Specialty)</t>
  </si>
  <si>
    <t>Rx Tier 3/4 (Brand Non-Formulary/Specialty)**</t>
  </si>
  <si>
    <t>Your total costs are lower due to Wright State’s contribution to your HSA.</t>
  </si>
  <si>
    <t>You should consider participating in the Healthcare FSA to assist with your out-of-pocket costs.</t>
  </si>
  <si>
    <t>$300 Copay</t>
  </si>
  <si>
    <t>Plan Cost Comparison</t>
  </si>
  <si>
    <t>Blue HPN</t>
  </si>
  <si>
    <t>$15 Copay</t>
  </si>
  <si>
    <t>$30 Copay</t>
  </si>
  <si>
    <t>20% w/ $60 Max</t>
  </si>
  <si>
    <t>40% w/ $100 Max</t>
  </si>
  <si>
    <t>$60 Copay</t>
  </si>
  <si>
    <t>$100 Copay</t>
  </si>
  <si>
    <t>NOTE: Currently the comparison tool does not accommodate a 4th tier prescription drug benefit. The 4th tier prescription drug benefit for the 80/20 plan and the HPN is "25% w/ $250 Max"; and for the HSA plan, it is "Ded, 20%"</t>
  </si>
  <si>
    <t>4. The spousal added fee is included in employee premiums above as applicable.</t>
  </si>
  <si>
    <t>d</t>
  </si>
  <si>
    <t>5. The Health Management Initiative Non-Participation Fee and Tobacco Surcharge impact on premiums are not included in the numbers above. The impact to monthly premiums applies regardless of which plan is selected for enrollment.</t>
  </si>
  <si>
    <t>&lt; $54,600</t>
  </si>
  <si>
    <t>$86,600 - $144,200</t>
  </si>
  <si>
    <t>$54,600 - $86,600</t>
  </si>
  <si>
    <t>&gt; $144,200</t>
  </si>
  <si>
    <t>2025 Health Benefit Plan Offerings</t>
  </si>
  <si>
    <t>12 Month Period (1/1/25 - 12/31/25)</t>
  </si>
  <si>
    <t>The Plan Comparison Tool was developed by HUB using Wright State University information and assumptions based on different market sources. HUB is Wright State University's strategic benefits consultant.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</si>
</sst>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0.0%"/>
  </numFmts>
  <fonts count="75" x14ac:knownFonts="1">
    <font>
      <sz val="11"/>
      <color theme="1"/>
      <name val="Calibri"/>
      <family val="2"/>
      <scheme val="minor"/>
    </font>
    <font>
      <b/>
      <sz val="14"/>
      <name val="Arial"/>
      <family val="2"/>
    </font>
    <font>
      <sz val="10"/>
      <name val="Arial"/>
      <family val="2"/>
    </font>
    <font>
      <sz val="9"/>
      <name val="Arial"/>
      <family val="2"/>
    </font>
    <font>
      <b/>
      <sz val="9"/>
      <name val="Arial"/>
      <family val="2"/>
    </font>
    <font>
      <sz val="11"/>
      <color indexed="8"/>
      <name val="Garamond"/>
      <family val="1"/>
    </font>
    <font>
      <b/>
      <sz val="9"/>
      <name val="Garamond"/>
      <family val="1"/>
    </font>
    <font>
      <sz val="11"/>
      <name val="Garamond"/>
      <family val="1"/>
    </font>
    <font>
      <i/>
      <sz val="11"/>
      <color indexed="8"/>
      <name val="Garamond"/>
      <family val="1"/>
    </font>
    <font>
      <b/>
      <sz val="16"/>
      <name val="Garamond"/>
      <family val="1"/>
    </font>
    <font>
      <sz val="16"/>
      <name val="Garamond"/>
      <family val="1"/>
    </font>
    <font>
      <sz val="9"/>
      <name val="Garamond"/>
      <family val="1"/>
    </font>
    <font>
      <b/>
      <sz val="10"/>
      <name val="Garamond"/>
      <family val="1"/>
    </font>
    <font>
      <sz val="10"/>
      <name val="Garamond"/>
      <family val="1"/>
    </font>
    <font>
      <b/>
      <i/>
      <sz val="11"/>
      <name val="Garamond"/>
      <family val="1"/>
    </font>
    <font>
      <sz val="11"/>
      <color theme="1"/>
      <name val="Calibri"/>
      <family val="2"/>
      <scheme val="minor"/>
    </font>
    <font>
      <b/>
      <sz val="11"/>
      <color theme="1"/>
      <name val="Calibri"/>
      <family val="2"/>
      <scheme val="minor"/>
    </font>
    <font>
      <sz val="11"/>
      <color theme="1"/>
      <name val="Garamond"/>
      <family val="1"/>
    </font>
    <font>
      <sz val="11"/>
      <color theme="0"/>
      <name val="Garamond"/>
      <family val="1"/>
    </font>
    <font>
      <b/>
      <sz val="11"/>
      <color theme="0"/>
      <name val="Garamond"/>
      <family val="1"/>
    </font>
    <font>
      <sz val="11"/>
      <color rgb="FF666666"/>
      <name val="Trebuchet MS"/>
      <family val="2"/>
    </font>
    <font>
      <b/>
      <sz val="11"/>
      <color rgb="FF666666"/>
      <name val="Trebuchet MS"/>
      <family val="2"/>
    </font>
    <font>
      <i/>
      <sz val="11"/>
      <color theme="1"/>
      <name val="Calibri"/>
      <family val="2"/>
      <scheme val="minor"/>
    </font>
    <font>
      <sz val="11"/>
      <color rgb="FF00479E"/>
      <name val="Garamond"/>
      <family val="1"/>
    </font>
    <font>
      <b/>
      <sz val="11"/>
      <color rgb="FF00479E"/>
      <name val="Garamond"/>
      <family val="1"/>
    </font>
    <font>
      <b/>
      <u/>
      <sz val="14"/>
      <color rgb="FF00479E"/>
      <name val="Garamond"/>
      <family val="1"/>
    </font>
    <font>
      <u/>
      <sz val="11"/>
      <color theme="1"/>
      <name val="Garamond"/>
      <family val="1"/>
    </font>
    <font>
      <sz val="11"/>
      <color theme="4"/>
      <name val="Garamond"/>
      <family val="1"/>
    </font>
    <font>
      <sz val="11"/>
      <color theme="4"/>
      <name val="Calibri"/>
      <family val="2"/>
      <scheme val="minor"/>
    </font>
    <font>
      <sz val="11"/>
      <color theme="9" tint="-0.249977111117893"/>
      <name val="Garamond"/>
      <family val="1"/>
    </font>
    <font>
      <b/>
      <sz val="14"/>
      <color rgb="FF00479E"/>
      <name val="Garamond"/>
      <family val="1"/>
    </font>
    <font>
      <b/>
      <u/>
      <sz val="11"/>
      <color theme="1"/>
      <name val="Calibri"/>
      <family val="2"/>
      <scheme val="minor"/>
    </font>
    <font>
      <b/>
      <sz val="12"/>
      <color rgb="FF00479E"/>
      <name val="Garamond"/>
      <family val="1"/>
    </font>
    <font>
      <b/>
      <u/>
      <sz val="12"/>
      <color theme="0"/>
      <name val="Calibri"/>
      <family val="2"/>
      <scheme val="minor"/>
    </font>
    <font>
      <b/>
      <sz val="16"/>
      <color theme="1"/>
      <name val="Calibri"/>
      <family val="2"/>
      <scheme val="minor"/>
    </font>
    <font>
      <b/>
      <sz val="11"/>
      <color rgb="FFFF0000"/>
      <name val="Garamond"/>
      <family val="1"/>
    </font>
    <font>
      <b/>
      <i/>
      <sz val="10"/>
      <color indexed="8"/>
      <name val="Calibri"/>
      <family val="2"/>
      <scheme val="minor"/>
    </font>
    <font>
      <sz val="10"/>
      <color theme="1"/>
      <name val="Garamond"/>
      <family val="1"/>
    </font>
    <font>
      <b/>
      <sz val="20"/>
      <color theme="1"/>
      <name val="Garamond"/>
      <family val="1"/>
    </font>
    <font>
      <b/>
      <sz val="14"/>
      <color rgb="FFFF0000"/>
      <name val="Garamond"/>
      <family val="1"/>
    </font>
    <font>
      <b/>
      <sz val="12"/>
      <color theme="0"/>
      <name val="Garamond"/>
      <family val="1"/>
    </font>
    <font>
      <sz val="11"/>
      <color rgb="FF0F243E"/>
      <name val="Garamond"/>
      <family val="1"/>
    </font>
    <font>
      <b/>
      <i/>
      <sz val="11"/>
      <color theme="1"/>
      <name val="Garamond"/>
      <family val="1"/>
    </font>
    <font>
      <b/>
      <sz val="11"/>
      <color theme="1"/>
      <name val="Garamond"/>
      <family val="1"/>
    </font>
    <font>
      <b/>
      <u/>
      <sz val="11"/>
      <color rgb="FFFF0000"/>
      <name val="Garamond"/>
      <family val="1"/>
    </font>
    <font>
      <b/>
      <u/>
      <sz val="11"/>
      <color rgb="FF0F243E"/>
      <name val="Garamond"/>
      <family val="1"/>
    </font>
    <font>
      <b/>
      <sz val="11"/>
      <color rgb="FF0F243E"/>
      <name val="Garamond"/>
      <family val="1"/>
    </font>
    <font>
      <b/>
      <sz val="18"/>
      <color rgb="FF00479E"/>
      <name val="Garamond"/>
      <family val="1"/>
    </font>
    <font>
      <sz val="9"/>
      <color theme="1"/>
      <name val="Garamond"/>
      <family val="1"/>
    </font>
    <font>
      <sz val="11"/>
      <color theme="3" tint="-0.499984740745262"/>
      <name val="Garamond"/>
      <family val="1"/>
    </font>
    <font>
      <b/>
      <u/>
      <sz val="11"/>
      <color theme="1"/>
      <name val="Garamond"/>
      <family val="1"/>
    </font>
    <font>
      <b/>
      <sz val="11"/>
      <color rgb="FFFF0000"/>
      <name val="Calibri"/>
      <family val="2"/>
      <scheme val="minor"/>
    </font>
    <font>
      <b/>
      <sz val="14"/>
      <color theme="3" tint="-0.499984740745262"/>
      <name val="Garamond"/>
      <family val="1"/>
    </font>
    <font>
      <sz val="12"/>
      <color rgb="FF00B050"/>
      <name val="Garamond"/>
      <family val="1"/>
    </font>
    <font>
      <sz val="18"/>
      <color theme="0"/>
      <name val="Garamond"/>
      <family val="1"/>
    </font>
    <font>
      <sz val="22"/>
      <color theme="0"/>
      <name val="Garamond"/>
      <family val="1"/>
    </font>
    <font>
      <b/>
      <sz val="20"/>
      <color theme="1"/>
      <name val="Calibri"/>
      <family val="2"/>
      <scheme val="minor"/>
    </font>
    <font>
      <b/>
      <sz val="14"/>
      <color theme="1"/>
      <name val="Calibri"/>
      <family val="2"/>
      <scheme val="minor"/>
    </font>
    <font>
      <b/>
      <sz val="16"/>
      <color theme="1"/>
      <name val="Garamond"/>
      <family val="1"/>
    </font>
    <font>
      <b/>
      <sz val="10"/>
      <color theme="0"/>
      <name val="Garamond"/>
      <family val="1"/>
    </font>
    <font>
      <u/>
      <sz val="11"/>
      <color rgb="FF0070C0"/>
      <name val="Garamond"/>
      <family val="1"/>
    </font>
    <font>
      <b/>
      <u/>
      <sz val="22"/>
      <name val="Garamond"/>
      <family val="1"/>
    </font>
    <font>
      <b/>
      <u/>
      <sz val="20"/>
      <color rgb="FF00479E"/>
      <name val="Garamond"/>
      <family val="1"/>
    </font>
    <font>
      <b/>
      <sz val="16"/>
      <color rgb="FFFF0000"/>
      <name val="Garamond"/>
      <family val="1"/>
    </font>
    <font>
      <b/>
      <u/>
      <sz val="16"/>
      <color rgb="FFFF0000"/>
      <name val="Garamond"/>
      <family val="1"/>
    </font>
    <font>
      <b/>
      <u/>
      <sz val="16"/>
      <color rgb="FF00479E"/>
      <name val="Garamond"/>
      <family val="1"/>
    </font>
    <font>
      <b/>
      <sz val="14"/>
      <color theme="5" tint="-0.249977111117893"/>
      <name val="Garamond"/>
      <family val="1"/>
    </font>
    <font>
      <sz val="11"/>
      <color theme="5" tint="-0.249977111117893"/>
      <name val="Garamond"/>
      <family val="1"/>
    </font>
    <font>
      <b/>
      <i/>
      <sz val="11"/>
      <color rgb="FFFF0000"/>
      <name val="Garamond"/>
      <family val="1"/>
    </font>
    <font>
      <b/>
      <u/>
      <sz val="11"/>
      <name val="Garamond"/>
      <family val="1"/>
    </font>
    <font>
      <b/>
      <u/>
      <sz val="11"/>
      <color theme="0"/>
      <name val="Garamond"/>
      <family val="1"/>
    </font>
    <font>
      <u/>
      <sz val="11"/>
      <color theme="1"/>
      <name val="Calibri"/>
      <family val="2"/>
      <scheme val="minor"/>
    </font>
    <font>
      <sz val="9"/>
      <color indexed="81"/>
      <name val="Tahoma"/>
      <family val="2"/>
    </font>
    <font>
      <b/>
      <sz val="9"/>
      <color indexed="81"/>
      <name val="Tahoma"/>
      <family val="2"/>
    </font>
    <font>
      <b/>
      <i/>
      <sz val="11"/>
      <color theme="0"/>
      <name val="Garamond"/>
      <family val="1"/>
    </font>
  </fonts>
  <fills count="29">
    <fill>
      <patternFill patternType="none"/>
    </fill>
    <fill>
      <patternFill patternType="gray125"/>
    </fill>
    <fill>
      <patternFill patternType="solid">
        <fgColor indexed="62"/>
        <bgColor indexed="64"/>
      </patternFill>
    </fill>
    <fill>
      <patternFill patternType="solid">
        <fgColor rgb="FF002060"/>
        <bgColor indexed="64"/>
      </patternFill>
    </fill>
    <fill>
      <patternFill patternType="solid">
        <fgColor theme="0"/>
        <bgColor indexed="64"/>
      </patternFill>
    </fill>
    <fill>
      <patternFill patternType="solid">
        <fgColor theme="9" tint="0.59999389629810485"/>
        <bgColor indexed="64"/>
      </patternFill>
    </fill>
    <fill>
      <patternFill patternType="solid">
        <fgColor rgb="FFFFFF00"/>
        <bgColor indexed="64"/>
      </patternFill>
    </fill>
    <fill>
      <patternFill patternType="solid">
        <fgColor rgb="FF00479E"/>
        <bgColor indexed="64"/>
      </patternFill>
    </fill>
    <fill>
      <patternFill patternType="solid">
        <fgColor theme="9" tint="0.39997558519241921"/>
        <bgColor indexed="64"/>
      </patternFill>
    </fill>
    <fill>
      <patternFill patternType="solid">
        <fgColor rgb="FFF9B47B"/>
        <bgColor indexed="64"/>
      </patternFill>
    </fill>
    <fill>
      <patternFill patternType="solid">
        <fgColor rgb="FFD1D6DF"/>
        <bgColor indexed="64"/>
      </patternFill>
    </fill>
    <fill>
      <patternFill patternType="solid">
        <fgColor rgb="FF002B60"/>
        <bgColor indexed="64"/>
      </patternFill>
    </fill>
    <fill>
      <patternFill patternType="solid">
        <fgColor rgb="FF7B4130"/>
        <bgColor indexed="64"/>
      </patternFill>
    </fill>
    <fill>
      <patternFill patternType="solid">
        <fgColor theme="3" tint="-0.499984740745262"/>
        <bgColor indexed="64"/>
      </patternFill>
    </fill>
    <fill>
      <patternFill patternType="solid">
        <fgColor rgb="FF0F243E"/>
        <bgColor indexed="64"/>
      </patternFill>
    </fill>
    <fill>
      <patternFill patternType="solid">
        <fgColor rgb="FFD1D6DF"/>
      </patternFill>
    </fill>
    <fill>
      <patternFill patternType="solid">
        <fgColor theme="0" tint="-0.14999847407452621"/>
        <bgColor indexed="64"/>
      </patternFill>
    </fill>
    <fill>
      <patternFill patternType="solid">
        <fgColor theme="0" tint="-0.499984740745262"/>
        <bgColor indexed="64"/>
      </patternFill>
    </fill>
    <fill>
      <patternFill patternType="solid">
        <fgColor theme="9" tint="-0.249977111117893"/>
        <bgColor indexed="64"/>
      </patternFill>
    </fill>
    <fill>
      <patternFill patternType="solid">
        <fgColor rgb="FF00B050"/>
        <bgColor indexed="64"/>
      </patternFill>
    </fill>
    <fill>
      <gradientFill degree="180">
        <stop position="0">
          <color theme="0"/>
        </stop>
        <stop position="1">
          <color theme="0" tint="-0.49803155613879818"/>
        </stop>
      </gradientFill>
    </fill>
    <fill>
      <patternFill patternType="solid">
        <fgColor rgb="FF92D050"/>
        <bgColor indexed="64"/>
      </patternFill>
    </fill>
    <fill>
      <patternFill patternType="solid">
        <fgColor rgb="FF00B0F0"/>
        <bgColor indexed="64"/>
      </patternFill>
    </fill>
    <fill>
      <patternFill patternType="solid">
        <fgColor rgb="FFFFFFCC"/>
        <bgColor indexed="64"/>
      </patternFill>
    </fill>
    <fill>
      <patternFill patternType="solid">
        <fgColor theme="3" tint="0.59999389629810485"/>
        <bgColor indexed="64"/>
      </patternFill>
    </fill>
    <fill>
      <patternFill patternType="solid">
        <fgColor theme="6" tint="0.59999389629810485"/>
        <bgColor indexed="64"/>
      </patternFill>
    </fill>
    <fill>
      <patternFill patternType="solid">
        <fgColor theme="8"/>
        <bgColor indexed="64"/>
      </patternFill>
    </fill>
    <fill>
      <patternFill patternType="solid">
        <fgColor theme="7" tint="0.39997558519241921"/>
        <bgColor indexed="64"/>
      </patternFill>
    </fill>
    <fill>
      <patternFill patternType="solid">
        <fgColor theme="6" tint="0.79998168889431442"/>
        <bgColor indexed="64"/>
      </patternFill>
    </fill>
  </fills>
  <borders count="22">
    <border>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dotted">
        <color indexed="64"/>
      </left>
      <right style="thin">
        <color indexed="64"/>
      </right>
      <top/>
      <bottom/>
      <diagonal/>
    </border>
    <border>
      <left style="thin">
        <color indexed="64"/>
      </left>
      <right style="thin">
        <color indexed="64"/>
      </right>
      <top/>
      <bottom style="thin">
        <color indexed="64"/>
      </bottom>
      <diagonal/>
    </border>
    <border>
      <left style="dotted">
        <color indexed="64"/>
      </left>
      <right style="thin">
        <color indexed="64"/>
      </right>
      <top/>
      <bottom style="thin">
        <color indexed="64"/>
      </bottom>
      <diagonal/>
    </border>
    <border>
      <left/>
      <right/>
      <top/>
      <bottom style="medium">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tted">
        <color rgb="FF002B60"/>
      </bottom>
      <diagonal/>
    </border>
    <border>
      <left/>
      <right/>
      <top/>
      <bottom style="medium">
        <color rgb="FFC5D3E8"/>
      </bottom>
      <diagonal/>
    </border>
  </borders>
  <cellStyleXfs count="36">
    <xf numFmtId="0" fontId="0" fillId="0" borderId="0"/>
    <xf numFmtId="41" fontId="2" fillId="0" borderId="0"/>
    <xf numFmtId="43" fontId="2" fillId="0" borderId="0"/>
    <xf numFmtId="42" fontId="2" fillId="0" borderId="0"/>
    <xf numFmtId="44" fontId="15" fillId="0" borderId="0"/>
    <xf numFmtId="0" fontId="15" fillId="0" borderId="0"/>
    <xf numFmtId="0" fontId="15" fillId="0" borderId="0"/>
    <xf numFmtId="0" fontId="2"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2" fillId="0" borderId="0"/>
    <xf numFmtId="49" fontId="3" fillId="0" borderId="0" applyFill="0" applyBorder="0" applyProtection="0">
      <alignment wrapText="1"/>
    </xf>
    <xf numFmtId="49" fontId="3" fillId="0" borderId="0" applyFill="0" applyBorder="0" applyProtection="0">
      <alignment wrapText="1"/>
    </xf>
    <xf numFmtId="49" fontId="3" fillId="0" borderId="0">
      <alignment wrapText="1"/>
    </xf>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1" applyNumberFormat="0" applyFill="0" applyProtection="0">
      <alignment wrapText="1"/>
    </xf>
    <xf numFmtId="0" fontId="4" fillId="0" borderId="1" applyNumberFormat="0" applyFill="0" applyProtection="0">
      <alignment wrapText="1"/>
    </xf>
    <xf numFmtId="0" fontId="4" fillId="0" borderId="1">
      <alignment wrapText="1"/>
    </xf>
    <xf numFmtId="0" fontId="2" fillId="2" borderId="2" applyNumberFormat="0" applyProtection="0">
      <alignment horizontal="center"/>
    </xf>
    <xf numFmtId="0" fontId="2" fillId="2" borderId="2" applyNumberFormat="0" applyProtection="0">
      <alignment horizontal="center"/>
    </xf>
    <xf numFmtId="0" fontId="2" fillId="2" borderId="2">
      <alignment horizontal="center"/>
    </xf>
    <xf numFmtId="0" fontId="4" fillId="2" borderId="3" applyNumberFormat="0" applyAlignment="0" applyProtection="0"/>
    <xf numFmtId="0" fontId="4" fillId="2" borderId="3" applyNumberFormat="0" applyAlignment="0" applyProtection="0"/>
    <xf numFmtId="0" fontId="4" fillId="2" borderId="3"/>
    <xf numFmtId="49" fontId="3" fillId="0" borderId="4" applyFill="0" applyProtection="0">
      <alignment horizontal="center" wrapText="1"/>
    </xf>
    <xf numFmtId="49" fontId="3" fillId="0" borderId="4" applyFill="0" applyProtection="0">
      <alignment horizontal="center" wrapText="1"/>
    </xf>
    <xf numFmtId="49" fontId="3" fillId="0" borderId="4">
      <alignment horizontal="center" wrapText="1"/>
    </xf>
    <xf numFmtId="49" fontId="3" fillId="0" borderId="5" applyFill="0" applyProtection="0">
      <alignment horizontal="center" wrapText="1"/>
    </xf>
    <xf numFmtId="49" fontId="3" fillId="0" borderId="5" applyFill="0" applyProtection="0">
      <alignment horizontal="center" wrapText="1"/>
    </xf>
    <xf numFmtId="49" fontId="3" fillId="0" borderId="5">
      <alignment horizontal="center"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cellStyleXfs>
  <cellXfs count="293">
    <xf numFmtId="0" fontId="0" fillId="0" borderId="0" xfId="0"/>
    <xf numFmtId="0" fontId="17" fillId="0" borderId="0" xfId="0" applyFont="1"/>
    <xf numFmtId="0" fontId="18" fillId="0" borderId="0" xfId="0" applyFont="1"/>
    <xf numFmtId="0" fontId="17" fillId="0" borderId="0" xfId="0" applyFont="1" applyAlignment="1">
      <alignment wrapText="1"/>
    </xf>
    <xf numFmtId="0" fontId="18" fillId="3" borderId="2" xfId="0" applyFont="1" applyFill="1" applyBorder="1" applyAlignment="1">
      <alignment horizontal="center" wrapText="1"/>
    </xf>
    <xf numFmtId="0" fontId="18" fillId="3" borderId="2" xfId="0" applyFont="1" applyFill="1" applyBorder="1" applyAlignment="1">
      <alignment horizontal="center"/>
    </xf>
    <xf numFmtId="6" fontId="17" fillId="0" borderId="6" xfId="0" applyNumberFormat="1" applyFont="1" applyBorder="1"/>
    <xf numFmtId="0" fontId="17" fillId="0" borderId="2" xfId="0" applyFont="1" applyBorder="1" applyAlignment="1">
      <alignment horizontal="center"/>
    </xf>
    <xf numFmtId="6" fontId="17" fillId="0" borderId="0" xfId="0" applyNumberFormat="1" applyFont="1"/>
    <xf numFmtId="0" fontId="17" fillId="0" borderId="6" xfId="0" applyFont="1" applyBorder="1" applyAlignment="1">
      <alignment horizontal="center"/>
    </xf>
    <xf numFmtId="0" fontId="9" fillId="0" borderId="0" xfId="33" applyFont="1"/>
    <xf numFmtId="9" fontId="17" fillId="0" borderId="0" xfId="0" applyNumberFormat="1" applyFont="1"/>
    <xf numFmtId="0" fontId="7" fillId="0" borderId="0" xfId="0" applyFont="1"/>
    <xf numFmtId="0" fontId="6" fillId="0" borderId="7" xfId="18" applyFont="1" applyBorder="1" applyAlignment="1">
      <alignment vertical="center" wrapText="1"/>
    </xf>
    <xf numFmtId="0" fontId="6" fillId="0" borderId="2" xfId="18" applyFont="1" applyBorder="1" applyAlignment="1">
      <alignment horizontal="center" vertical="center" wrapText="1"/>
    </xf>
    <xf numFmtId="0" fontId="10" fillId="0" borderId="0" xfId="0" applyFont="1"/>
    <xf numFmtId="9" fontId="10" fillId="0" borderId="0" xfId="0" applyNumberFormat="1" applyFont="1"/>
    <xf numFmtId="0" fontId="6" fillId="0" borderId="8" xfId="18" applyFont="1" applyBorder="1" applyAlignment="1">
      <alignment vertical="center" wrapText="1"/>
    </xf>
    <xf numFmtId="0" fontId="17" fillId="4" borderId="6" xfId="0" applyFont="1" applyFill="1" applyBorder="1"/>
    <xf numFmtId="49" fontId="6" fillId="0" borderId="8" xfId="12" applyFont="1" applyBorder="1" applyAlignment="1">
      <alignment vertical="center" wrapText="1"/>
    </xf>
    <xf numFmtId="0" fontId="17" fillId="4" borderId="8" xfId="0" applyFont="1" applyFill="1" applyBorder="1"/>
    <xf numFmtId="0" fontId="17" fillId="4" borderId="0" xfId="0" applyFont="1" applyFill="1" applyAlignment="1">
      <alignment horizontal="right"/>
    </xf>
    <xf numFmtId="0" fontId="17" fillId="4" borderId="9" xfId="0" applyFont="1" applyFill="1" applyBorder="1"/>
    <xf numFmtId="0" fontId="17" fillId="4" borderId="6" xfId="0" applyFont="1" applyFill="1" applyBorder="1" applyAlignment="1">
      <alignment horizontal="right"/>
    </xf>
    <xf numFmtId="0" fontId="6" fillId="4" borderId="7" xfId="18" applyFont="1" applyFill="1" applyBorder="1" applyAlignment="1">
      <alignment vertical="center"/>
    </xf>
    <xf numFmtId="0" fontId="6" fillId="4" borderId="1" xfId="18" applyFont="1" applyFill="1" applyAlignment="1">
      <alignment horizontal="right" vertical="center" wrapText="1"/>
    </xf>
    <xf numFmtId="0" fontId="6" fillId="4" borderId="7" xfId="18" applyFont="1" applyFill="1" applyBorder="1" applyAlignment="1">
      <alignment vertical="center" wrapText="1"/>
    </xf>
    <xf numFmtId="0" fontId="6" fillId="4" borderId="1" xfId="18" applyFont="1" applyFill="1" applyAlignment="1">
      <alignment vertical="center" wrapText="1"/>
    </xf>
    <xf numFmtId="6" fontId="17" fillId="4" borderId="4" xfId="0" applyNumberFormat="1" applyFont="1" applyFill="1" applyBorder="1"/>
    <xf numFmtId="9" fontId="17" fillId="4" borderId="10" xfId="0" applyNumberFormat="1" applyFont="1" applyFill="1" applyBorder="1"/>
    <xf numFmtId="6" fontId="17" fillId="4" borderId="10" xfId="0" applyNumberFormat="1" applyFont="1" applyFill="1" applyBorder="1"/>
    <xf numFmtId="49" fontId="6" fillId="0" borderId="9" xfId="12" applyFont="1" applyBorder="1" applyAlignment="1">
      <alignment vertical="center" wrapText="1"/>
    </xf>
    <xf numFmtId="0" fontId="6" fillId="4" borderId="8" xfId="18" applyFont="1" applyFill="1" applyBorder="1" applyAlignment="1">
      <alignment vertical="center" wrapText="1"/>
    </xf>
    <xf numFmtId="0" fontId="17" fillId="4" borderId="0" xfId="0" applyFont="1" applyFill="1"/>
    <xf numFmtId="49" fontId="6" fillId="4" borderId="8" xfId="12" applyFont="1" applyFill="1" applyBorder="1" applyAlignment="1">
      <alignment vertical="center"/>
    </xf>
    <xf numFmtId="6" fontId="17" fillId="4" borderId="11" xfId="0" applyNumberFormat="1" applyFont="1" applyFill="1" applyBorder="1"/>
    <xf numFmtId="9" fontId="17" fillId="4" borderId="12" xfId="0" applyNumberFormat="1" applyFont="1" applyFill="1" applyBorder="1"/>
    <xf numFmtId="6" fontId="17" fillId="4" borderId="12" xfId="0" applyNumberFormat="1" applyFont="1" applyFill="1" applyBorder="1"/>
    <xf numFmtId="0" fontId="18" fillId="3" borderId="6" xfId="0" applyFont="1" applyFill="1" applyBorder="1" applyAlignment="1">
      <alignment horizontal="center"/>
    </xf>
    <xf numFmtId="0" fontId="19" fillId="3" borderId="6" xfId="0" applyFont="1" applyFill="1" applyBorder="1" applyAlignment="1">
      <alignment horizontal="center"/>
    </xf>
    <xf numFmtId="0" fontId="6" fillId="0" borderId="7" xfId="18" applyFont="1" applyBorder="1" applyAlignment="1">
      <alignment horizontal="center" vertical="center" wrapText="1"/>
    </xf>
    <xf numFmtId="6" fontId="17" fillId="0" borderId="0" xfId="0" applyNumberFormat="1" applyFont="1" applyAlignment="1">
      <alignment horizontal="center"/>
    </xf>
    <xf numFmtId="0" fontId="6" fillId="0" borderId="8" xfId="18" applyFont="1" applyBorder="1" applyAlignment="1">
      <alignment horizontal="center" vertical="center" wrapText="1"/>
    </xf>
    <xf numFmtId="49" fontId="6" fillId="0" borderId="8" xfId="12" applyFont="1" applyBorder="1" applyAlignment="1">
      <alignment horizontal="center" vertical="center"/>
    </xf>
    <xf numFmtId="49" fontId="6" fillId="0" borderId="9" xfId="12" applyFont="1" applyBorder="1" applyAlignment="1">
      <alignment horizontal="center" vertical="center"/>
    </xf>
    <xf numFmtId="6" fontId="17" fillId="0" borderId="6" xfId="0" applyNumberFormat="1" applyFont="1" applyBorder="1" applyAlignment="1">
      <alignment horizontal="center"/>
    </xf>
    <xf numFmtId="6" fontId="17" fillId="5" borderId="6" xfId="0" applyNumberFormat="1" applyFont="1" applyFill="1" applyBorder="1" applyAlignment="1">
      <alignment horizontal="center"/>
    </xf>
    <xf numFmtId="9" fontId="17" fillId="0" borderId="6" xfId="0" applyNumberFormat="1" applyFont="1" applyBorder="1" applyAlignment="1">
      <alignment horizontal="center"/>
    </xf>
    <xf numFmtId="0" fontId="17" fillId="0" borderId="0" xfId="0" applyFont="1" applyAlignment="1">
      <alignment horizontal="left"/>
    </xf>
    <xf numFmtId="0" fontId="17" fillId="0" borderId="6" xfId="0" applyFont="1" applyBorder="1" applyAlignment="1">
      <alignment horizontal="right"/>
    </xf>
    <xf numFmtId="6" fontId="17" fillId="6" borderId="6" xfId="0" applyNumberFormat="1" applyFont="1" applyFill="1" applyBorder="1"/>
    <xf numFmtId="0" fontId="17" fillId="0" borderId="1" xfId="0" applyFont="1" applyBorder="1" applyAlignment="1">
      <alignment horizontal="center"/>
    </xf>
    <xf numFmtId="0" fontId="17" fillId="0" borderId="0" xfId="0" applyFont="1" applyAlignment="1">
      <alignment horizontal="center"/>
    </xf>
    <xf numFmtId="0" fontId="17" fillId="4" borderId="2" xfId="0" applyFont="1" applyFill="1" applyBorder="1"/>
    <xf numFmtId="6" fontId="17" fillId="4" borderId="20" xfId="0" applyNumberFormat="1" applyFont="1" applyFill="1" applyBorder="1" applyAlignment="1">
      <alignment horizontal="center"/>
    </xf>
    <xf numFmtId="6" fontId="17" fillId="4" borderId="2" xfId="0" applyNumberFormat="1" applyFont="1" applyFill="1" applyBorder="1" applyAlignment="1">
      <alignment horizontal="center"/>
    </xf>
    <xf numFmtId="0" fontId="17" fillId="0" borderId="0" xfId="0" applyFont="1" applyAlignment="1">
      <alignment horizontal="right"/>
    </xf>
    <xf numFmtId="8" fontId="0" fillId="0" borderId="0" xfId="0" applyNumberFormat="1"/>
    <xf numFmtId="0" fontId="20" fillId="0" borderId="21" xfId="0" applyFont="1" applyBorder="1" applyAlignment="1">
      <alignment vertical="center"/>
    </xf>
    <xf numFmtId="8" fontId="20" fillId="0" borderId="21" xfId="0" applyNumberFormat="1" applyFont="1" applyBorder="1" applyAlignment="1">
      <alignment vertical="center"/>
    </xf>
    <xf numFmtId="0" fontId="20" fillId="0" borderId="0" xfId="0" applyFont="1" applyAlignment="1">
      <alignment vertical="center"/>
    </xf>
    <xf numFmtId="6" fontId="0" fillId="0" borderId="0" xfId="0" applyNumberFormat="1"/>
    <xf numFmtId="0" fontId="21" fillId="0" borderId="21" xfId="0" applyFont="1" applyBorder="1" applyAlignment="1">
      <alignment vertical="center"/>
    </xf>
    <xf numFmtId="0" fontId="0" fillId="0" borderId="13" xfId="0" applyBorder="1"/>
    <xf numFmtId="0" fontId="22" fillId="0" borderId="14" xfId="0" applyFont="1" applyBorder="1" applyAlignment="1">
      <alignment horizontal="centerContinuous"/>
    </xf>
    <xf numFmtId="0" fontId="17" fillId="0" borderId="2" xfId="0" applyFont="1" applyBorder="1"/>
    <xf numFmtId="0" fontId="18" fillId="7" borderId="6" xfId="0" applyFont="1" applyFill="1" applyBorder="1"/>
    <xf numFmtId="9" fontId="18" fillId="7" borderId="6" xfId="0" applyNumberFormat="1" applyFont="1" applyFill="1" applyBorder="1"/>
    <xf numFmtId="0" fontId="27" fillId="0" borderId="0" xfId="0" applyFont="1"/>
    <xf numFmtId="0" fontId="28" fillId="0" borderId="0" xfId="0" applyFont="1"/>
    <xf numFmtId="0" fontId="29" fillId="4" borderId="6" xfId="0" applyFont="1" applyFill="1" applyBorder="1" applyAlignment="1">
      <alignment horizontal="right"/>
    </xf>
    <xf numFmtId="0" fontId="0" fillId="8" borderId="0" xfId="0" applyFill="1"/>
    <xf numFmtId="0" fontId="17" fillId="9" borderId="0" xfId="0" applyFont="1" applyFill="1"/>
    <xf numFmtId="0" fontId="0" fillId="0" borderId="0" xfId="0" applyAlignment="1">
      <alignment horizontal="center"/>
    </xf>
    <xf numFmtId="0" fontId="31" fillId="0" borderId="0" xfId="0" applyFont="1"/>
    <xf numFmtId="164" fontId="17" fillId="0" borderId="0" xfId="0" applyNumberFormat="1" applyFont="1" applyAlignment="1">
      <alignment horizontal="center"/>
    </xf>
    <xf numFmtId="0" fontId="0" fillId="10" borderId="1" xfId="0" applyFill="1" applyBorder="1"/>
    <xf numFmtId="0" fontId="0" fillId="10" borderId="8" xfId="0" applyFill="1" applyBorder="1"/>
    <xf numFmtId="0" fontId="0" fillId="10" borderId="0" xfId="0" applyFill="1"/>
    <xf numFmtId="0" fontId="0" fillId="10" borderId="9" xfId="0" applyFill="1" applyBorder="1"/>
    <xf numFmtId="0" fontId="0" fillId="10" borderId="6" xfId="0" applyFill="1" applyBorder="1"/>
    <xf numFmtId="0" fontId="16" fillId="10" borderId="7" xfId="0" applyFont="1" applyFill="1" applyBorder="1"/>
    <xf numFmtId="0" fontId="0" fillId="10" borderId="5" xfId="0" applyFill="1" applyBorder="1" applyAlignment="1">
      <alignment horizontal="center"/>
    </xf>
    <xf numFmtId="164" fontId="0" fillId="10" borderId="4" xfId="0" applyNumberFormat="1" applyFill="1" applyBorder="1" applyAlignment="1">
      <alignment horizontal="center"/>
    </xf>
    <xf numFmtId="164" fontId="0" fillId="10" borderId="11" xfId="0" applyNumberFormat="1" applyFill="1" applyBorder="1" applyAlignment="1">
      <alignment horizontal="center"/>
    </xf>
    <xf numFmtId="164" fontId="0" fillId="10" borderId="5" xfId="0" applyNumberFormat="1" applyFill="1" applyBorder="1" applyAlignment="1">
      <alignment horizontal="center"/>
    </xf>
    <xf numFmtId="0" fontId="0" fillId="0" borderId="4" xfId="0" applyBorder="1" applyAlignment="1">
      <alignment horizontal="center"/>
    </xf>
    <xf numFmtId="164" fontId="0" fillId="0" borderId="4" xfId="0" applyNumberFormat="1" applyBorder="1" applyAlignment="1">
      <alignment horizontal="center"/>
    </xf>
    <xf numFmtId="0" fontId="0" fillId="0" borderId="11" xfId="0" applyBorder="1" applyAlignment="1">
      <alignment horizontal="center"/>
    </xf>
    <xf numFmtId="0" fontId="16" fillId="0" borderId="15" xfId="0" applyFont="1" applyBorder="1"/>
    <xf numFmtId="0" fontId="0" fillId="0" borderId="3" xfId="0" applyBorder="1"/>
    <xf numFmtId="9" fontId="15" fillId="0" borderId="2" xfId="8" applyFont="1" applyBorder="1" applyAlignment="1">
      <alignment horizontal="center"/>
    </xf>
    <xf numFmtId="0" fontId="16" fillId="0" borderId="7" xfId="0" applyFont="1" applyBorder="1"/>
    <xf numFmtId="0" fontId="0" fillId="0" borderId="1" xfId="0" applyBorder="1"/>
    <xf numFmtId="0" fontId="0" fillId="0" borderId="5" xfId="0" applyBorder="1" applyAlignment="1">
      <alignment horizontal="center"/>
    </xf>
    <xf numFmtId="0" fontId="16" fillId="0" borderId="8" xfId="0" applyFont="1" applyBorder="1"/>
    <xf numFmtId="0" fontId="16" fillId="0" borderId="9" xfId="0" applyFont="1" applyBorder="1"/>
    <xf numFmtId="0" fontId="0" fillId="0" borderId="6" xfId="0" applyBorder="1"/>
    <xf numFmtId="0" fontId="33" fillId="11" borderId="5" xfId="0" applyFont="1" applyFill="1" applyBorder="1" applyAlignment="1">
      <alignment horizontal="center" vertical="center"/>
    </xf>
    <xf numFmtId="0" fontId="33" fillId="12" borderId="5" xfId="0" applyFont="1" applyFill="1" applyBorder="1" applyAlignment="1">
      <alignment horizontal="center" vertical="center"/>
    </xf>
    <xf numFmtId="0" fontId="34" fillId="0" borderId="0" xfId="0" applyFont="1"/>
    <xf numFmtId="0" fontId="16" fillId="10" borderId="15" xfId="0" applyFont="1" applyFill="1" applyBorder="1"/>
    <xf numFmtId="0" fontId="0" fillId="10" borderId="3" xfId="0" applyFill="1" applyBorder="1"/>
    <xf numFmtId="164" fontId="0" fillId="10" borderId="2" xfId="0" applyNumberFormat="1" applyFill="1" applyBorder="1" applyAlignment="1">
      <alignment horizontal="center"/>
    </xf>
    <xf numFmtId="0" fontId="0" fillId="10" borderId="2" xfId="0" applyFill="1" applyBorder="1" applyAlignment="1">
      <alignment horizontal="center"/>
    </xf>
    <xf numFmtId="0" fontId="36" fillId="0" borderId="0" xfId="0" applyFont="1"/>
    <xf numFmtId="0" fontId="37" fillId="0" borderId="2" xfId="0" applyFont="1" applyBorder="1" applyAlignment="1" applyProtection="1">
      <alignment horizontal="center"/>
      <protection locked="0"/>
    </xf>
    <xf numFmtId="0" fontId="13" fillId="4" borderId="2" xfId="0" applyFont="1" applyFill="1" applyBorder="1" applyAlignment="1" applyProtection="1">
      <alignment horizontal="center"/>
      <protection locked="0"/>
    </xf>
    <xf numFmtId="0" fontId="17" fillId="0" borderId="0" xfId="0" applyFont="1" applyAlignment="1">
      <alignment vertical="top"/>
    </xf>
    <xf numFmtId="8" fontId="17" fillId="0" borderId="0" xfId="0" applyNumberFormat="1" applyFont="1"/>
    <xf numFmtId="6" fontId="17" fillId="0" borderId="2" xfId="0" applyNumberFormat="1" applyFont="1" applyBorder="1" applyAlignment="1">
      <alignment horizontal="center"/>
    </xf>
    <xf numFmtId="0" fontId="38" fillId="0" borderId="0" xfId="0" applyFont="1" applyAlignment="1">
      <alignment vertical="top"/>
    </xf>
    <xf numFmtId="0" fontId="39" fillId="0" borderId="0" xfId="0" applyFont="1" applyAlignment="1">
      <alignment horizontal="center" vertical="top"/>
    </xf>
    <xf numFmtId="0" fontId="40" fillId="13" borderId="0" xfId="0" applyFont="1" applyFill="1" applyAlignment="1">
      <alignment vertical="center"/>
    </xf>
    <xf numFmtId="0" fontId="17" fillId="13" borderId="0" xfId="0" applyFont="1" applyFill="1"/>
    <xf numFmtId="0" fontId="41" fillId="13" borderId="0" xfId="0" applyFont="1" applyFill="1"/>
    <xf numFmtId="0" fontId="23" fillId="0" borderId="0" xfId="0" applyFont="1" applyAlignment="1">
      <alignment horizontal="left"/>
    </xf>
    <xf numFmtId="0" fontId="42" fillId="0" borderId="0" xfId="0" applyFont="1" applyAlignment="1">
      <alignment horizontal="right"/>
    </xf>
    <xf numFmtId="6" fontId="41" fillId="14" borderId="0" xfId="0" applyNumberFormat="1" applyFont="1" applyFill="1"/>
    <xf numFmtId="0" fontId="41" fillId="14" borderId="0" xfId="0" applyFont="1" applyFill="1"/>
    <xf numFmtId="0" fontId="41" fillId="14" borderId="0" xfId="0" applyFont="1" applyFill="1" applyAlignment="1">
      <alignment horizontal="center"/>
    </xf>
    <xf numFmtId="0" fontId="43" fillId="0" borderId="0" xfId="0" applyFont="1" applyAlignment="1">
      <alignment horizontal="center"/>
    </xf>
    <xf numFmtId="0" fontId="44" fillId="4" borderId="0" xfId="0" applyFont="1" applyFill="1"/>
    <xf numFmtId="6" fontId="46" fillId="14" borderId="0" xfId="0" applyNumberFormat="1" applyFont="1" applyFill="1" applyAlignment="1">
      <alignment horizontal="center"/>
    </xf>
    <xf numFmtId="0" fontId="6" fillId="0" borderId="0" xfId="18" applyFont="1" applyBorder="1" applyAlignment="1" applyProtection="1">
      <alignment vertical="center" wrapText="1"/>
    </xf>
    <xf numFmtId="0" fontId="12" fillId="15" borderId="2" xfId="18" applyFont="1" applyFill="1" applyBorder="1" applyAlignment="1" applyProtection="1">
      <alignment horizontal="center" vertical="center" wrapText="1"/>
    </xf>
    <xf numFmtId="0" fontId="17" fillId="4" borderId="0" xfId="0" quotePrefix="1" applyFont="1" applyFill="1"/>
    <xf numFmtId="0" fontId="47" fillId="0" borderId="0" xfId="0" applyFont="1" applyAlignment="1">
      <alignment vertical="center" wrapText="1"/>
    </xf>
    <xf numFmtId="6" fontId="41" fillId="14" borderId="0" xfId="0" applyNumberFormat="1" applyFont="1" applyFill="1" applyAlignment="1">
      <alignment horizontal="center"/>
    </xf>
    <xf numFmtId="0" fontId="48" fillId="0" borderId="0" xfId="0" applyFont="1" applyAlignment="1">
      <alignment vertical="top" wrapText="1"/>
    </xf>
    <xf numFmtId="0" fontId="32" fillId="0" borderId="0" xfId="0" applyFont="1" applyAlignment="1">
      <alignment vertical="top"/>
    </xf>
    <xf numFmtId="49" fontId="6" fillId="0" borderId="0" xfId="12" applyFont="1" applyBorder="1" applyAlignment="1" applyProtection="1">
      <alignment vertical="center" wrapText="1"/>
    </xf>
    <xf numFmtId="0" fontId="37" fillId="0" borderId="0" xfId="0" applyFont="1"/>
    <xf numFmtId="0" fontId="37" fillId="0" borderId="0" xfId="0" applyFont="1" applyAlignment="1">
      <alignment horizontal="center" wrapText="1"/>
    </xf>
    <xf numFmtId="0" fontId="13" fillId="0" borderId="0" xfId="0" applyFont="1" applyAlignment="1">
      <alignment horizontal="center" wrapText="1"/>
    </xf>
    <xf numFmtId="6" fontId="12" fillId="16" borderId="2" xfId="18" applyNumberFormat="1" applyFont="1" applyFill="1" applyBorder="1" applyAlignment="1" applyProtection="1">
      <alignment horizontal="center" vertical="center" wrapText="1"/>
    </xf>
    <xf numFmtId="6" fontId="13" fillId="0" borderId="2" xfId="0" applyNumberFormat="1" applyFont="1" applyBorder="1" applyAlignment="1">
      <alignment horizontal="center"/>
    </xf>
    <xf numFmtId="0" fontId="17" fillId="4" borderId="0" xfId="0" applyFont="1" applyFill="1" applyAlignment="1">
      <alignment horizontal="center"/>
    </xf>
    <xf numFmtId="0" fontId="49" fillId="13" borderId="0" xfId="0" applyFont="1" applyFill="1"/>
    <xf numFmtId="0" fontId="49" fillId="14" borderId="0" xfId="0" applyFont="1" applyFill="1"/>
    <xf numFmtId="0" fontId="49" fillId="14" borderId="0" xfId="0" applyFont="1" applyFill="1" applyAlignment="1">
      <alignment horizontal="center"/>
    </xf>
    <xf numFmtId="0" fontId="17" fillId="14" borderId="0" xfId="0" applyFont="1" applyFill="1"/>
    <xf numFmtId="0" fontId="17" fillId="13" borderId="0" xfId="0" applyFont="1" applyFill="1" applyAlignment="1">
      <alignment horizontal="center"/>
    </xf>
    <xf numFmtId="0" fontId="17" fillId="4" borderId="0" xfId="0" applyFont="1" applyFill="1" applyAlignment="1">
      <alignment horizontal="center" vertical="center"/>
    </xf>
    <xf numFmtId="0" fontId="17" fillId="0" borderId="0" xfId="0" applyFont="1" applyAlignment="1">
      <alignment horizontal="center" vertical="center"/>
    </xf>
    <xf numFmtId="0" fontId="17" fillId="13" borderId="0" xfId="0" applyFont="1" applyFill="1" applyAlignment="1">
      <alignment horizontal="center" vertical="center"/>
    </xf>
    <xf numFmtId="0" fontId="50" fillId="0" borderId="0" xfId="0" applyFont="1"/>
    <xf numFmtId="0" fontId="51" fillId="0" borderId="0" xfId="0" applyFont="1"/>
    <xf numFmtId="0" fontId="52" fillId="13" borderId="0" xfId="0" applyFont="1" applyFill="1" applyAlignment="1">
      <alignment vertical="top"/>
    </xf>
    <xf numFmtId="0" fontId="30" fillId="13" borderId="0" xfId="0" applyFont="1" applyFill="1" applyAlignment="1">
      <alignment vertical="top"/>
    </xf>
    <xf numFmtId="0" fontId="53" fillId="0" borderId="0" xfId="0" applyFont="1" applyAlignment="1">
      <alignment horizontal="center" wrapText="1"/>
    </xf>
    <xf numFmtId="1" fontId="17" fillId="0" borderId="0" xfId="0" applyNumberFormat="1" applyFont="1"/>
    <xf numFmtId="0" fontId="19" fillId="3" borderId="0" xfId="0" applyFont="1" applyFill="1" applyAlignment="1">
      <alignment horizontal="center"/>
    </xf>
    <xf numFmtId="0" fontId="54" fillId="17" borderId="7" xfId="0" applyFont="1" applyFill="1" applyBorder="1"/>
    <xf numFmtId="0" fontId="17" fillId="17" borderId="1" xfId="0" applyFont="1" applyFill="1" applyBorder="1"/>
    <xf numFmtId="0" fontId="17" fillId="0" borderId="1" xfId="0" applyFont="1" applyBorder="1"/>
    <xf numFmtId="0" fontId="17" fillId="0" borderId="16" xfId="0" applyFont="1" applyBorder="1"/>
    <xf numFmtId="0" fontId="17" fillId="0" borderId="8" xfId="0" applyFont="1" applyBorder="1"/>
    <xf numFmtId="6" fontId="17" fillId="0" borderId="17" xfId="0" applyNumberFormat="1" applyFont="1" applyBorder="1"/>
    <xf numFmtId="0" fontId="19" fillId="3" borderId="8" xfId="0" applyFont="1" applyFill="1" applyBorder="1" applyAlignment="1">
      <alignment horizontal="center"/>
    </xf>
    <xf numFmtId="0" fontId="17" fillId="0" borderId="17" xfId="0" applyFont="1" applyBorder="1"/>
    <xf numFmtId="6" fontId="17" fillId="5" borderId="0" xfId="0" applyNumberFormat="1" applyFont="1" applyFill="1" applyAlignment="1">
      <alignment horizontal="center"/>
    </xf>
    <xf numFmtId="9" fontId="17" fillId="0" borderId="0" xfId="0" applyNumberFormat="1" applyFont="1" applyAlignment="1">
      <alignment horizontal="center"/>
    </xf>
    <xf numFmtId="0" fontId="17" fillId="0" borderId="8" xfId="0" applyFont="1" applyBorder="1" applyAlignment="1">
      <alignment horizontal="center"/>
    </xf>
    <xf numFmtId="6" fontId="17" fillId="0" borderId="0" xfId="0" applyNumberFormat="1" applyFont="1" applyAlignment="1">
      <alignment horizontal="right"/>
    </xf>
    <xf numFmtId="0" fontId="17" fillId="0" borderId="8" xfId="0" applyFont="1" applyBorder="1" applyAlignment="1">
      <alignment horizontal="left"/>
    </xf>
    <xf numFmtId="0" fontId="17" fillId="6" borderId="0" xfId="0" applyFont="1" applyFill="1"/>
    <xf numFmtId="6" fontId="17" fillId="6" borderId="0" xfId="0" applyNumberFormat="1" applyFont="1" applyFill="1"/>
    <xf numFmtId="6" fontId="17" fillId="0" borderId="9" xfId="0" applyNumberFormat="1" applyFont="1" applyBorder="1" applyAlignment="1">
      <alignment horizontal="left"/>
    </xf>
    <xf numFmtId="0" fontId="17" fillId="0" borderId="9" xfId="0" applyFont="1" applyBorder="1" applyAlignment="1">
      <alignment horizontal="left"/>
    </xf>
    <xf numFmtId="0" fontId="17" fillId="0" borderId="6" xfId="0" applyFont="1" applyBorder="1"/>
    <xf numFmtId="0" fontId="17" fillId="0" borderId="18" xfId="0" applyFont="1" applyBorder="1"/>
    <xf numFmtId="0" fontId="55" fillId="18" borderId="7" xfId="0" applyFont="1" applyFill="1" applyBorder="1" applyAlignment="1">
      <alignment horizontal="left"/>
    </xf>
    <xf numFmtId="0" fontId="17" fillId="18" borderId="1" xfId="0" applyFont="1" applyFill="1" applyBorder="1"/>
    <xf numFmtId="6" fontId="17" fillId="0" borderId="8" xfId="0" applyNumberFormat="1" applyFont="1" applyBorder="1" applyAlignment="1">
      <alignment horizontal="right"/>
    </xf>
    <xf numFmtId="0" fontId="17" fillId="0" borderId="9" xfId="0" applyFont="1" applyBorder="1"/>
    <xf numFmtId="9" fontId="17" fillId="0" borderId="6" xfId="0" applyNumberFormat="1" applyFont="1" applyBorder="1"/>
    <xf numFmtId="164" fontId="17" fillId="0" borderId="0" xfId="0" applyNumberFormat="1" applyFont="1"/>
    <xf numFmtId="10" fontId="17" fillId="0" borderId="0" xfId="0" applyNumberFormat="1" applyFont="1" applyAlignment="1">
      <alignment horizontal="center"/>
    </xf>
    <xf numFmtId="10" fontId="17" fillId="0" borderId="6" xfId="0" applyNumberFormat="1" applyFont="1" applyBorder="1" applyAlignment="1">
      <alignment horizontal="center"/>
    </xf>
    <xf numFmtId="0" fontId="17" fillId="0" borderId="0" xfId="0" applyFont="1" applyAlignment="1">
      <alignment horizontal="center" wrapText="1"/>
    </xf>
    <xf numFmtId="8" fontId="17" fillId="0" borderId="0" xfId="0" applyNumberFormat="1" applyFont="1" applyAlignment="1">
      <alignment horizontal="center" wrapText="1"/>
    </xf>
    <xf numFmtId="8" fontId="17" fillId="0" borderId="0" xfId="0" applyNumberFormat="1" applyFont="1" applyAlignment="1">
      <alignment horizontal="center"/>
    </xf>
    <xf numFmtId="0" fontId="17" fillId="14" borderId="0" xfId="0" applyFont="1" applyFill="1" applyAlignment="1">
      <alignment horizontal="center"/>
    </xf>
    <xf numFmtId="0" fontId="18" fillId="14" borderId="0" xfId="0" applyFont="1" applyFill="1"/>
    <xf numFmtId="0" fontId="18" fillId="14" borderId="0" xfId="0" applyFont="1" applyFill="1" applyAlignment="1">
      <alignment horizontal="center"/>
    </xf>
    <xf numFmtId="0" fontId="17" fillId="14" borderId="0" xfId="0" applyFont="1" applyFill="1" applyAlignment="1">
      <alignment horizontal="center" vertical="center"/>
    </xf>
    <xf numFmtId="0" fontId="56" fillId="0" borderId="0" xfId="0" applyFont="1"/>
    <xf numFmtId="0" fontId="57" fillId="0" borderId="0" xfId="0" applyFont="1"/>
    <xf numFmtId="49" fontId="6" fillId="0" borderId="8" xfId="12" applyFont="1" applyFill="1" applyBorder="1" applyAlignment="1">
      <alignment vertical="center"/>
    </xf>
    <xf numFmtId="49" fontId="6" fillId="0" borderId="8" xfId="12" applyFont="1" applyFill="1" applyBorder="1" applyAlignment="1">
      <alignment horizontal="center" vertical="center"/>
    </xf>
    <xf numFmtId="0" fontId="58" fillId="0" borderId="0" xfId="0" applyFont="1" applyAlignment="1">
      <alignment vertical="top"/>
    </xf>
    <xf numFmtId="49" fontId="6" fillId="0" borderId="9" xfId="12" applyFont="1" applyFill="1" applyBorder="1" applyAlignment="1">
      <alignment vertical="center"/>
    </xf>
    <xf numFmtId="0" fontId="0" fillId="0" borderId="2" xfId="0" applyBorder="1"/>
    <xf numFmtId="0" fontId="0" fillId="0" borderId="2" xfId="0" applyBorder="1" applyAlignment="1">
      <alignment horizontal="center"/>
    </xf>
    <xf numFmtId="6" fontId="17" fillId="19" borderId="0" xfId="0" applyNumberFormat="1" applyFont="1" applyFill="1" applyAlignment="1">
      <alignment horizontal="center"/>
    </xf>
    <xf numFmtId="9" fontId="17" fillId="19" borderId="0" xfId="0" applyNumberFormat="1" applyFont="1" applyFill="1" applyAlignment="1">
      <alignment horizontal="center"/>
    </xf>
    <xf numFmtId="0" fontId="7" fillId="0" borderId="0" xfId="0" applyFont="1" applyAlignment="1">
      <alignment horizontal="center"/>
    </xf>
    <xf numFmtId="165" fontId="17" fillId="0" borderId="0" xfId="0" applyNumberFormat="1" applyFont="1"/>
    <xf numFmtId="0" fontId="7" fillId="25" borderId="0" xfId="0" applyFont="1" applyFill="1" applyAlignment="1">
      <alignment horizontal="center"/>
    </xf>
    <xf numFmtId="0" fontId="61" fillId="0" borderId="0" xfId="0" applyFont="1"/>
    <xf numFmtId="0" fontId="62" fillId="0" borderId="0" xfId="0" applyFont="1"/>
    <xf numFmtId="0" fontId="26" fillId="0" borderId="0" xfId="0" applyFont="1"/>
    <xf numFmtId="0" fontId="32" fillId="0" borderId="0" xfId="0" applyFont="1"/>
    <xf numFmtId="0" fontId="65" fillId="0" borderId="0" xfId="0" applyFont="1"/>
    <xf numFmtId="0" fontId="30" fillId="0" borderId="0" xfId="0" applyFont="1"/>
    <xf numFmtId="0" fontId="35" fillId="0" borderId="0" xfId="0" applyFont="1"/>
    <xf numFmtId="0" fontId="23" fillId="0" borderId="0" xfId="0" applyFont="1"/>
    <xf numFmtId="0" fontId="25" fillId="0" borderId="0" xfId="0" applyFont="1"/>
    <xf numFmtId="0" fontId="30" fillId="0" borderId="0" xfId="0" applyFont="1" applyAlignment="1">
      <alignment horizontal="left" wrapText="1"/>
    </xf>
    <xf numFmtId="0" fontId="66" fillId="0" borderId="0" xfId="0" applyFont="1"/>
    <xf numFmtId="0" fontId="66" fillId="0" borderId="0" xfId="0" applyFont="1" applyAlignment="1">
      <alignment horizontal="left" wrapText="1"/>
    </xf>
    <xf numFmtId="0" fontId="67" fillId="0" borderId="0" xfId="0" applyFont="1"/>
    <xf numFmtId="0" fontId="24" fillId="0" borderId="0" xfId="0" applyFont="1"/>
    <xf numFmtId="0" fontId="17" fillId="0" borderId="0" xfId="0" applyFont="1" applyAlignment="1">
      <alignment vertical="center"/>
    </xf>
    <xf numFmtId="0" fontId="9" fillId="0" borderId="0" xfId="0" applyFont="1"/>
    <xf numFmtId="6" fontId="45" fillId="13" borderId="0" xfId="0" applyNumberFormat="1" applyFont="1" applyFill="1"/>
    <xf numFmtId="6" fontId="41" fillId="13" borderId="0" xfId="0" applyNumberFormat="1" applyFont="1" applyFill="1"/>
    <xf numFmtId="0" fontId="43" fillId="6" borderId="0" xfId="0" applyFont="1" applyFill="1" applyAlignment="1">
      <alignment wrapText="1"/>
    </xf>
    <xf numFmtId="0" fontId="43" fillId="23" borderId="2" xfId="0" applyFont="1" applyFill="1" applyBorder="1" applyAlignment="1" applyProtection="1">
      <alignment horizontal="center"/>
      <protection locked="0"/>
    </xf>
    <xf numFmtId="0" fontId="68" fillId="4" borderId="0" xfId="0" applyFont="1" applyFill="1" applyAlignment="1">
      <alignment horizontal="left" vertical="center"/>
    </xf>
    <xf numFmtId="0" fontId="16" fillId="6" borderId="0" xfId="0" applyFont="1" applyFill="1"/>
    <xf numFmtId="9" fontId="0" fillId="0" borderId="4" xfId="0" applyNumberFormat="1" applyBorder="1" applyAlignment="1">
      <alignment horizontal="center"/>
    </xf>
    <xf numFmtId="164" fontId="0" fillId="10" borderId="19" xfId="0" applyNumberFormat="1" applyFill="1" applyBorder="1" applyAlignment="1">
      <alignment horizontal="center"/>
    </xf>
    <xf numFmtId="164" fontId="0" fillId="10" borderId="15" xfId="0" applyNumberFormat="1" applyFill="1" applyBorder="1" applyAlignment="1">
      <alignment horizontal="center"/>
    </xf>
    <xf numFmtId="6" fontId="17" fillId="19" borderId="2" xfId="0" applyNumberFormat="1" applyFont="1" applyFill="1" applyBorder="1" applyAlignment="1">
      <alignment horizontal="center"/>
    </xf>
    <xf numFmtId="6" fontId="17" fillId="0" borderId="6" xfId="0" applyNumberFormat="1" applyFont="1" applyBorder="1" applyAlignment="1">
      <alignment horizontal="left" indent="2"/>
    </xf>
    <xf numFmtId="0" fontId="43" fillId="0" borderId="0" xfId="0" applyFont="1"/>
    <xf numFmtId="6" fontId="41" fillId="13" borderId="0" xfId="0" applyNumberFormat="1" applyFont="1" applyFill="1" applyAlignment="1">
      <alignment horizontal="center"/>
    </xf>
    <xf numFmtId="0" fontId="41" fillId="13" borderId="0" xfId="0" applyFont="1" applyFill="1" applyAlignment="1">
      <alignment horizontal="center"/>
    </xf>
    <xf numFmtId="0" fontId="0" fillId="16" borderId="0" xfId="0" applyFill="1"/>
    <xf numFmtId="0" fontId="70" fillId="0" borderId="0" xfId="0" applyFont="1"/>
    <xf numFmtId="6" fontId="46" fillId="13" borderId="0" xfId="0" applyNumberFormat="1" applyFont="1" applyFill="1" applyAlignment="1">
      <alignment horizontal="center"/>
    </xf>
    <xf numFmtId="0" fontId="33" fillId="26" borderId="5" xfId="0" applyFont="1" applyFill="1" applyBorder="1" applyAlignment="1">
      <alignment horizontal="center" vertical="center"/>
    </xf>
    <xf numFmtId="164" fontId="71" fillId="10" borderId="2" xfId="0" applyNumberFormat="1" applyFont="1" applyFill="1" applyBorder="1" applyAlignment="1">
      <alignment horizontal="center"/>
    </xf>
    <xf numFmtId="0" fontId="17" fillId="18" borderId="0" xfId="0" applyFont="1" applyFill="1" applyAlignment="1">
      <alignment wrapText="1"/>
    </xf>
    <xf numFmtId="0" fontId="17" fillId="4" borderId="0" xfId="0" quotePrefix="1" applyFont="1" applyFill="1" applyAlignment="1">
      <alignment horizontal="left" wrapText="1"/>
    </xf>
    <xf numFmtId="0" fontId="42" fillId="0" borderId="0" xfId="0" applyFont="1" applyAlignment="1">
      <alignment horizontal="center" vertical="center" wrapText="1"/>
    </xf>
    <xf numFmtId="0" fontId="42" fillId="0" borderId="0" xfId="0" applyFont="1" applyAlignment="1">
      <alignment vertical="center" wrapText="1"/>
    </xf>
    <xf numFmtId="0" fontId="17" fillId="24" borderId="0" xfId="0" applyFont="1" applyFill="1" applyAlignment="1">
      <alignment horizontal="center"/>
    </xf>
    <xf numFmtId="0" fontId="17" fillId="24" borderId="6" xfId="0" applyFont="1" applyFill="1" applyBorder="1" applyAlignment="1">
      <alignment horizontal="center"/>
    </xf>
    <xf numFmtId="6" fontId="17" fillId="24" borderId="0" xfId="0" applyNumberFormat="1" applyFont="1" applyFill="1"/>
    <xf numFmtId="0" fontId="17" fillId="24" borderId="1" xfId="0" applyFont="1" applyFill="1" applyBorder="1" applyAlignment="1">
      <alignment horizontal="center"/>
    </xf>
    <xf numFmtId="6" fontId="17" fillId="24" borderId="0" xfId="0" applyNumberFormat="1" applyFont="1" applyFill="1" applyAlignment="1">
      <alignment horizontal="center"/>
    </xf>
    <xf numFmtId="8" fontId="17" fillId="25" borderId="0" xfId="0" applyNumberFormat="1" applyFont="1" applyFill="1" applyAlignment="1">
      <alignment horizontal="center"/>
    </xf>
    <xf numFmtId="8" fontId="17" fillId="18" borderId="0" xfId="0" applyNumberFormat="1" applyFont="1" applyFill="1" applyAlignment="1">
      <alignment horizontal="center"/>
    </xf>
    <xf numFmtId="6" fontId="17" fillId="18" borderId="0" xfId="0" applyNumberFormat="1" applyFont="1" applyFill="1" applyAlignment="1">
      <alignment horizontal="center"/>
    </xf>
    <xf numFmtId="0" fontId="17" fillId="18" borderId="0" xfId="0" applyFont="1" applyFill="1"/>
    <xf numFmtId="0" fontId="17" fillId="27" borderId="0" xfId="0" applyFont="1" applyFill="1"/>
    <xf numFmtId="0" fontId="41" fillId="14" borderId="0" xfId="0" quotePrefix="1" applyFont="1" applyFill="1"/>
    <xf numFmtId="0" fontId="17" fillId="24" borderId="0" xfId="0" applyFont="1" applyFill="1" applyAlignment="1">
      <alignment horizontal="center" wrapText="1"/>
    </xf>
    <xf numFmtId="0" fontId="17" fillId="20" borderId="1" xfId="0" applyFont="1" applyFill="1" applyBorder="1" applyAlignment="1">
      <alignment horizontal="center"/>
    </xf>
    <xf numFmtId="8" fontId="11" fillId="4" borderId="7" xfId="30" applyNumberFormat="1" applyFont="1" applyFill="1" applyBorder="1" applyAlignment="1">
      <alignment horizontal="center" vertical="center" wrapText="1"/>
    </xf>
    <xf numFmtId="8" fontId="11" fillId="4" borderId="16" xfId="30" applyNumberFormat="1" applyFont="1" applyFill="1" applyBorder="1" applyAlignment="1">
      <alignment horizontal="center" vertical="center" wrapText="1"/>
    </xf>
    <xf numFmtId="9" fontId="17" fillId="4" borderId="15" xfId="0" applyNumberFormat="1" applyFont="1" applyFill="1" applyBorder="1" applyAlignment="1">
      <alignment horizontal="center"/>
    </xf>
    <xf numFmtId="9" fontId="17" fillId="4" borderId="19" xfId="0" applyNumberFormat="1" applyFont="1" applyFill="1" applyBorder="1" applyAlignment="1">
      <alignment horizontal="center"/>
    </xf>
    <xf numFmtId="6" fontId="17" fillId="4" borderId="9" xfId="0" applyNumberFormat="1" applyFont="1" applyFill="1" applyBorder="1" applyAlignment="1">
      <alignment horizontal="center"/>
    </xf>
    <xf numFmtId="6" fontId="17" fillId="4" borderId="18" xfId="0" applyNumberFormat="1" applyFont="1" applyFill="1" applyBorder="1" applyAlignment="1">
      <alignment horizontal="center"/>
    </xf>
    <xf numFmtId="0" fontId="17" fillId="21" borderId="0" xfId="0" applyFont="1" applyFill="1" applyAlignment="1">
      <alignment horizontal="center" wrapText="1"/>
    </xf>
    <xf numFmtId="0" fontId="17" fillId="22" borderId="0" xfId="0" applyFont="1" applyFill="1" applyAlignment="1">
      <alignment horizontal="center" wrapText="1"/>
    </xf>
    <xf numFmtId="0" fontId="17" fillId="0" borderId="0" xfId="0" applyFont="1" applyAlignment="1">
      <alignment horizontal="center"/>
    </xf>
    <xf numFmtId="0" fontId="59" fillId="3" borderId="2" xfId="21" applyFont="1" applyFill="1">
      <alignment horizontal="center"/>
    </xf>
    <xf numFmtId="6" fontId="17" fillId="4" borderId="8" xfId="0" applyNumberFormat="1" applyFont="1" applyFill="1" applyBorder="1" applyAlignment="1">
      <alignment horizontal="center"/>
    </xf>
    <xf numFmtId="6" fontId="17" fillId="4" borderId="17" xfId="0" applyNumberFormat="1" applyFont="1" applyFill="1" applyBorder="1" applyAlignment="1">
      <alignment horizontal="center"/>
    </xf>
    <xf numFmtId="0" fontId="69" fillId="0" borderId="0" xfId="0" applyFont="1" applyAlignment="1">
      <alignment horizontal="center"/>
    </xf>
    <xf numFmtId="0" fontId="6" fillId="4" borderId="7" xfId="18" applyFont="1" applyFill="1" applyBorder="1" applyAlignment="1">
      <alignment vertical="center" wrapText="1"/>
    </xf>
    <xf numFmtId="0" fontId="6" fillId="4" borderId="1" xfId="18" applyFont="1" applyFill="1" applyAlignment="1">
      <alignment vertical="center" wrapText="1"/>
    </xf>
    <xf numFmtId="0" fontId="53" fillId="0" borderId="0" xfId="0" applyFont="1" applyAlignment="1">
      <alignment horizontal="center" wrapText="1"/>
    </xf>
    <xf numFmtId="0" fontId="59" fillId="12" borderId="19" xfId="21" applyFont="1" applyFill="1" applyBorder="1">
      <alignment horizontal="center"/>
    </xf>
    <xf numFmtId="0" fontId="59" fillId="12" borderId="2" xfId="21" applyFont="1" applyFill="1">
      <alignment horizontal="center"/>
    </xf>
    <xf numFmtId="0" fontId="63" fillId="0" borderId="0" xfId="0" applyFont="1" applyAlignment="1">
      <alignment horizontal="left" vertical="center" wrapText="1"/>
    </xf>
    <xf numFmtId="0" fontId="30" fillId="0" borderId="0" xfId="0" applyFont="1" applyAlignment="1">
      <alignment horizontal="left" wrapText="1"/>
    </xf>
    <xf numFmtId="0" fontId="30" fillId="0" borderId="0" xfId="0" applyFont="1" applyAlignment="1">
      <alignment horizontal="left" vertical="center" wrapText="1"/>
    </xf>
    <xf numFmtId="0" fontId="9" fillId="0" borderId="0" xfId="0" applyFont="1" applyAlignment="1">
      <alignment horizontal="left" vertical="center" wrapText="1"/>
    </xf>
    <xf numFmtId="0" fontId="14" fillId="0" borderId="0" xfId="0" applyFont="1" applyAlignment="1">
      <alignment horizontal="center" vertical="center"/>
    </xf>
    <xf numFmtId="0" fontId="60" fillId="0" borderId="6" xfId="0" applyFont="1" applyBorder="1" applyAlignment="1">
      <alignment horizontal="center"/>
    </xf>
    <xf numFmtId="0" fontId="17" fillId="4" borderId="0" xfId="0" quotePrefix="1" applyFont="1" applyFill="1" applyAlignment="1">
      <alignment horizontal="left" wrapText="1"/>
    </xf>
    <xf numFmtId="0" fontId="17" fillId="16" borderId="7" xfId="0" applyFont="1" applyFill="1" applyBorder="1" applyAlignment="1">
      <alignment horizontal="center" wrapText="1"/>
    </xf>
    <xf numFmtId="0" fontId="17" fillId="16" borderId="1" xfId="0" applyFont="1" applyFill="1" applyBorder="1" applyAlignment="1">
      <alignment horizontal="center" wrapText="1"/>
    </xf>
    <xf numFmtId="0" fontId="17" fillId="16" borderId="16" xfId="0" applyFont="1" applyFill="1" applyBorder="1" applyAlignment="1">
      <alignment horizontal="center" wrapText="1"/>
    </xf>
    <xf numFmtId="0" fontId="17" fillId="16" borderId="9" xfId="0" applyFont="1" applyFill="1" applyBorder="1" applyAlignment="1">
      <alignment horizontal="center" wrapText="1"/>
    </xf>
    <xf numFmtId="0" fontId="17" fillId="16" borderId="6" xfId="0" applyFont="1" applyFill="1" applyBorder="1" applyAlignment="1">
      <alignment horizontal="center" wrapText="1"/>
    </xf>
    <xf numFmtId="0" fontId="17" fillId="16" borderId="18" xfId="0" applyFont="1" applyFill="1" applyBorder="1" applyAlignment="1">
      <alignment horizontal="center" wrapText="1"/>
    </xf>
    <xf numFmtId="49" fontId="6" fillId="0" borderId="0" xfId="12" applyFont="1" applyBorder="1" applyAlignment="1" applyProtection="1">
      <alignment horizontal="left" vertical="center" wrapText="1"/>
    </xf>
    <xf numFmtId="0" fontId="74" fillId="11" borderId="0" xfId="0" applyFont="1" applyFill="1" applyAlignment="1">
      <alignment horizontal="center" vertical="center" wrapText="1"/>
    </xf>
    <xf numFmtId="0" fontId="36" fillId="0" borderId="0" xfId="0" applyFont="1" applyAlignment="1">
      <alignment horizontal="left" vertical="center" wrapText="1"/>
    </xf>
    <xf numFmtId="6" fontId="17" fillId="28" borderId="8" xfId="0" applyNumberFormat="1" applyFont="1" applyFill="1" applyBorder="1" applyAlignment="1">
      <alignment horizontal="center"/>
    </xf>
    <xf numFmtId="6" fontId="17" fillId="28" borderId="17" xfId="0" applyNumberFormat="1" applyFont="1" applyFill="1" applyBorder="1" applyAlignment="1">
      <alignment horizontal="center"/>
    </xf>
    <xf numFmtId="6" fontId="17" fillId="28" borderId="9" xfId="0" applyNumberFormat="1" applyFont="1" applyFill="1" applyBorder="1" applyAlignment="1">
      <alignment horizontal="center"/>
    </xf>
    <xf numFmtId="6" fontId="17" fillId="28" borderId="18" xfId="0" applyNumberFormat="1" applyFont="1" applyFill="1" applyBorder="1" applyAlignment="1">
      <alignment horizontal="center"/>
    </xf>
    <xf numFmtId="6" fontId="17" fillId="0" borderId="4" xfId="0" applyNumberFormat="1" applyFont="1" applyFill="1" applyBorder="1"/>
    <xf numFmtId="0" fontId="45" fillId="14" borderId="0" xfId="0" applyFont="1" applyFill="1"/>
    <xf numFmtId="0" fontId="19" fillId="14" borderId="0" xfId="0" applyFont="1" applyFill="1"/>
  </cellXfs>
  <cellStyles count="36">
    <cellStyle name="Comma [0] 2" xfId="1" xr:uid="{00000000-0005-0000-0000-000000000000}"/>
    <cellStyle name="Comma 2" xfId="2" xr:uid="{00000000-0005-0000-0000-000001000000}"/>
    <cellStyle name="Currency [0] 2" xfId="3" xr:uid="{00000000-0005-0000-0000-000002000000}"/>
    <cellStyle name="Currency 2" xfId="4" xr:uid="{00000000-0005-0000-0000-000003000000}"/>
    <cellStyle name="Normal" xfId="0" builtinId="0"/>
    <cellStyle name="Normal 2" xfId="5" xr:uid="{00000000-0005-0000-0000-000005000000}"/>
    <cellStyle name="Normal 3" xfId="6" xr:uid="{00000000-0005-0000-0000-000006000000}"/>
    <cellStyle name="Normal 4" xfId="7" xr:uid="{00000000-0005-0000-0000-000007000000}"/>
    <cellStyle name="Percent" xfId="8" builtinId="5"/>
    <cellStyle name="Percent 2" xfId="9" xr:uid="{00000000-0005-0000-0000-000009000000}"/>
    <cellStyle name="Percent 3" xfId="10" xr:uid="{00000000-0005-0000-0000-00000A000000}"/>
    <cellStyle name="Percent 4" xfId="11" xr:uid="{00000000-0005-0000-0000-00000B000000}"/>
    <cellStyle name="Style 106" xfId="12" xr:uid="{00000000-0005-0000-0000-00000C000000}"/>
    <cellStyle name="Style 106 2" xfId="13" xr:uid="{00000000-0005-0000-0000-00000D000000}"/>
    <cellStyle name="Style 106 3" xfId="14" xr:uid="{00000000-0005-0000-0000-00000E000000}"/>
    <cellStyle name="Style 108" xfId="15" xr:uid="{00000000-0005-0000-0000-00000F000000}"/>
    <cellStyle name="Style 108 2" xfId="16" xr:uid="{00000000-0005-0000-0000-000010000000}"/>
    <cellStyle name="Style 108 3" xfId="17" xr:uid="{00000000-0005-0000-0000-000011000000}"/>
    <cellStyle name="Style 113" xfId="18" xr:uid="{00000000-0005-0000-0000-000012000000}"/>
    <cellStyle name="Style 113 2" xfId="19" xr:uid="{00000000-0005-0000-0000-000013000000}"/>
    <cellStyle name="Style 113 3" xfId="20" xr:uid="{00000000-0005-0000-0000-000014000000}"/>
    <cellStyle name="Style 115" xfId="21" xr:uid="{00000000-0005-0000-0000-000015000000}"/>
    <cellStyle name="Style 115 2" xfId="22" xr:uid="{00000000-0005-0000-0000-000016000000}"/>
    <cellStyle name="Style 115 3" xfId="23" xr:uid="{00000000-0005-0000-0000-000017000000}"/>
    <cellStyle name="Style 116" xfId="24" xr:uid="{00000000-0005-0000-0000-000018000000}"/>
    <cellStyle name="Style 116 2" xfId="25" xr:uid="{00000000-0005-0000-0000-000019000000}"/>
    <cellStyle name="Style 116 3" xfId="26" xr:uid="{00000000-0005-0000-0000-00001A000000}"/>
    <cellStyle name="Style 120" xfId="27" xr:uid="{00000000-0005-0000-0000-00001B000000}"/>
    <cellStyle name="Style 120 2" xfId="28" xr:uid="{00000000-0005-0000-0000-00001C000000}"/>
    <cellStyle name="Style 120 3" xfId="29" xr:uid="{00000000-0005-0000-0000-00001D000000}"/>
    <cellStyle name="Style 121" xfId="30" xr:uid="{00000000-0005-0000-0000-00001E000000}"/>
    <cellStyle name="Style 121 2" xfId="31" xr:uid="{00000000-0005-0000-0000-00001F000000}"/>
    <cellStyle name="Style 121 3" xfId="32" xr:uid="{00000000-0005-0000-0000-000020000000}"/>
    <cellStyle name="Style 136" xfId="33" xr:uid="{00000000-0005-0000-0000-000021000000}"/>
    <cellStyle name="Style 136 2" xfId="34" xr:uid="{00000000-0005-0000-0000-000022000000}"/>
    <cellStyle name="Style 136 3" xfId="35" xr:uid="{00000000-0005-0000-0000-000023000000}"/>
  </cellStyles>
  <dxfs count="11">
    <dxf>
      <font>
        <color theme="0"/>
      </font>
      <fill>
        <patternFill>
          <bgColor theme="1"/>
        </patternFill>
      </fill>
    </dxf>
    <dxf>
      <font>
        <color theme="0"/>
      </font>
      <fill>
        <patternFill>
          <bgColor theme="0"/>
        </patternFill>
      </fill>
      <border>
        <left style="thin">
          <color indexed="64"/>
        </left>
        <right/>
        <top/>
        <bottom/>
      </border>
    </dxf>
    <dxf>
      <font>
        <color rgb="FFC00000"/>
      </font>
    </dxf>
    <dxf>
      <font>
        <color theme="0"/>
      </font>
    </dxf>
    <dxf>
      <font>
        <color theme="0"/>
      </font>
      <numFmt numFmtId="30" formatCode="@"/>
      <fill>
        <patternFill>
          <bgColor theme="0"/>
        </patternFill>
      </fill>
      <border>
        <left style="thin">
          <color indexed="64"/>
        </left>
        <right/>
        <top/>
        <bottom/>
      </border>
    </dxf>
    <dxf>
      <font>
        <color theme="0"/>
      </font>
      <fill>
        <patternFill>
          <bgColor theme="1"/>
        </patternFill>
      </fill>
    </dxf>
    <dxf>
      <font>
        <color rgb="FFC00000"/>
      </font>
      <fill>
        <patternFill>
          <bgColor theme="0"/>
        </patternFill>
      </fill>
    </dxf>
    <dxf>
      <fill>
        <patternFill>
          <bgColor theme="8" tint="0.59996337778862885"/>
        </patternFill>
      </fill>
    </dxf>
    <dxf>
      <font>
        <color theme="0"/>
      </font>
      <fill>
        <patternFill>
          <bgColor theme="0"/>
        </patternFill>
      </fill>
      <border>
        <left/>
        <right/>
        <top/>
        <bottom/>
      </border>
    </dxf>
    <dxf>
      <fill>
        <patternFill>
          <bgColor theme="8" tint="0.59996337778862885"/>
        </patternFill>
      </fill>
    </dxf>
    <dxf>
      <fill>
        <patternFill>
          <bgColor theme="0" tint="-0.499984740745262"/>
        </patternFill>
      </fill>
    </dxf>
  </dxfs>
  <tableStyles count="0" defaultTableStyle="TableStyleMedium2" defaultPivotStyle="PivotStyleLight16"/>
  <colors>
    <mruColors>
      <color rgb="FF0F243E"/>
      <color rgb="FF002B6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438644276193985"/>
          <c:y val="0.21435942132341221"/>
          <c:w val="0.76253723745051272"/>
          <c:h val="0.72931107295219921"/>
        </c:manualLayout>
      </c:layout>
      <c:barChart>
        <c:barDir val="col"/>
        <c:grouping val="stacked"/>
        <c:varyColors val="0"/>
        <c:ser>
          <c:idx val="4"/>
          <c:order val="0"/>
          <c:tx>
            <c:strRef>
              <c:f>'Analyst Use Only'!$Q$33</c:f>
              <c:strCache>
                <c:ptCount val="1"/>
                <c:pt idx="0">
                  <c:v>Annual Premium Deductions</c:v>
                </c:pt>
              </c:strCache>
            </c:strRef>
          </c:tx>
          <c:spPr>
            <a:gradFill>
              <a:gsLst>
                <a:gs pos="0">
                  <a:srgbClr val="F68426"/>
                </a:gs>
                <a:gs pos="100000">
                  <a:srgbClr val="F9B47B"/>
                </a:gs>
              </a:gsLst>
              <a:lin ang="13500000" scaled="1"/>
            </a:gradFill>
            <a:ln w="19050">
              <a:solidFill>
                <a:schemeClr val="bg1"/>
              </a:solidFill>
            </a:ln>
          </c:spPr>
          <c:invertIfNegative val="0"/>
          <c:dLbls>
            <c:spPr>
              <a:noFill/>
              <a:ln>
                <a:noFill/>
              </a:ln>
              <a:effectLst/>
            </c:spPr>
            <c:txPr>
              <a:bodyPr/>
              <a:lstStyle/>
              <a:p>
                <a:pPr>
                  <a:defRPr sz="1000" b="0" i="0" u="none" strike="noStrike" baseline="0">
                    <a:solidFill>
                      <a:srgbClr val="000000"/>
                    </a:solidFill>
                    <a:latin typeface="Garamond"/>
                    <a:ea typeface="Garamond"/>
                    <a:cs typeface="Garamond"/>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'Analyst Use Only'!$R$28:$T$28</c:f>
              <c:strCache>
                <c:ptCount val="3"/>
                <c:pt idx="0">
                  <c:v>Blue HPN</c:v>
                </c:pt>
                <c:pt idx="1">
                  <c:v>PPO 80/20</c:v>
                </c:pt>
                <c:pt idx="2">
                  <c:v>HDHP</c:v>
                </c:pt>
              </c:strCache>
            </c:strRef>
          </c:cat>
          <c:val>
            <c:numRef>
              <c:f>'Analyst Use Only'!$R$33:$T$33</c:f>
              <c:numCache>
                <c:formatCode>"$"#,##0_);[Red]\("$"#,##0\)</c:formatCode>
                <c:ptCount val="3"/>
                <c:pt idx="0">
                  <c:v>0</c:v>
                </c:pt>
                <c:pt idx="1">
                  <c:v>0</c:v>
                </c:pt>
                <c:pt idx="2">
                  <c:v>0</c:v>
                </c:pt>
              </c:numCache>
            </c:numRef>
          </c:val>
          <c:extLst>
            <c:ext xmlns:c16="http://schemas.microsoft.com/office/drawing/2014/chart" uri="{C3380CC4-5D6E-409C-BE32-E72D297353CC}">
              <c16:uniqueId val="{00000000-9FE8-479B-9C4B-26DB75F0E243}"/>
            </c:ext>
          </c:extLst>
        </c:ser>
        <c:ser>
          <c:idx val="0"/>
          <c:order val="1"/>
          <c:tx>
            <c:strRef>
              <c:f>'Analyst Use Only'!$Q$29</c:f>
              <c:strCache>
                <c:ptCount val="1"/>
                <c:pt idx="0">
                  <c:v>Deductible</c:v>
                </c:pt>
              </c:strCache>
            </c:strRef>
          </c:tx>
          <c:spPr>
            <a:gradFill>
              <a:gsLst>
                <a:gs pos="0">
                  <a:srgbClr val="4081D0"/>
                </a:gs>
                <a:gs pos="100000">
                  <a:schemeClr val="tx2">
                    <a:lumMod val="40000"/>
                    <a:lumOff val="60000"/>
                  </a:schemeClr>
                </a:gs>
              </a:gsLst>
              <a:lin ang="13500000" scaled="1"/>
            </a:gradFill>
            <a:ln w="19050">
              <a:solidFill>
                <a:schemeClr val="bg1"/>
              </a:solidFill>
            </a:ln>
          </c:spPr>
          <c:invertIfNegative val="0"/>
          <c:dLbls>
            <c:spPr>
              <a:noFill/>
              <a:ln>
                <a:noFill/>
              </a:ln>
              <a:effectLst/>
            </c:spPr>
            <c:txPr>
              <a:bodyPr/>
              <a:lstStyle/>
              <a:p>
                <a:pPr>
                  <a:defRPr sz="1000" b="0" i="0" u="none" strike="noStrike" baseline="0">
                    <a:solidFill>
                      <a:srgbClr val="000000"/>
                    </a:solidFill>
                    <a:latin typeface="Garamond"/>
                    <a:ea typeface="Garamond"/>
                    <a:cs typeface="Garamond"/>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'Analyst Use Only'!$R$28:$T$28</c:f>
              <c:strCache>
                <c:ptCount val="3"/>
                <c:pt idx="0">
                  <c:v>Blue HPN</c:v>
                </c:pt>
                <c:pt idx="1">
                  <c:v>PPO 80/20</c:v>
                </c:pt>
                <c:pt idx="2">
                  <c:v>HDHP</c:v>
                </c:pt>
              </c:strCache>
            </c:strRef>
          </c:cat>
          <c:val>
            <c:numRef>
              <c:f>'Analyst Use Only'!$R$29:$T$29</c:f>
              <c:numCache>
                <c:formatCode>"$"#,##0_);[Red]\("$"#,##0\)</c:formatCode>
                <c:ptCount val="3"/>
                <c:pt idx="0">
                  <c:v>0</c:v>
                </c:pt>
                <c:pt idx="1">
                  <c:v>0</c:v>
                </c:pt>
                <c:pt idx="2">
                  <c:v>0</c:v>
                </c:pt>
              </c:numCache>
            </c:numRef>
          </c:val>
          <c:extLst>
            <c:ext xmlns:c16="http://schemas.microsoft.com/office/drawing/2014/chart" uri="{C3380CC4-5D6E-409C-BE32-E72D297353CC}">
              <c16:uniqueId val="{00000001-9FE8-479B-9C4B-26DB75F0E243}"/>
            </c:ext>
          </c:extLst>
        </c:ser>
        <c:ser>
          <c:idx val="1"/>
          <c:order val="2"/>
          <c:tx>
            <c:strRef>
              <c:f>'Analyst Use Only'!$Q$31</c:f>
              <c:strCache>
                <c:ptCount val="1"/>
                <c:pt idx="0">
                  <c:v>Other Out of Pocket Expenses</c:v>
                </c:pt>
              </c:strCache>
            </c:strRef>
          </c:tx>
          <c:spPr>
            <a:gradFill>
              <a:gsLst>
                <a:gs pos="0">
                  <a:schemeClr val="accent3"/>
                </a:gs>
                <a:gs pos="100000">
                  <a:schemeClr val="accent3">
                    <a:lumMod val="60000"/>
                    <a:lumOff val="40000"/>
                  </a:schemeClr>
                </a:gs>
              </a:gsLst>
              <a:lin ang="13500000" scaled="1"/>
            </a:gradFill>
            <a:ln w="19050">
              <a:solidFill>
                <a:schemeClr val="bg1"/>
              </a:solidFill>
            </a:ln>
          </c:spPr>
          <c:invertIfNegative val="0"/>
          <c:dLbls>
            <c:dLbl>
              <c:idx val="1"/>
              <c:layout>
                <c:manualLayout>
                  <c:x val="0"/>
                  <c:y val="1.1251758087201177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FE8-479B-9C4B-26DB75F0E243}"/>
                </c:ext>
              </c:extLst>
            </c:dLbl>
            <c:spPr>
              <a:noFill/>
              <a:ln>
                <a:noFill/>
              </a:ln>
              <a:effectLst/>
            </c:spPr>
            <c:txPr>
              <a:bodyPr/>
              <a:lstStyle/>
              <a:p>
                <a:pPr>
                  <a:defRPr sz="1000" b="0" i="0" u="none" strike="noStrike" baseline="0">
                    <a:solidFill>
                      <a:srgbClr val="000000"/>
                    </a:solidFill>
                    <a:latin typeface="Garamond"/>
                    <a:ea typeface="Garamond"/>
                    <a:cs typeface="Garamond"/>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'Analyst Use Only'!$R$28:$T$28</c:f>
              <c:strCache>
                <c:ptCount val="3"/>
                <c:pt idx="0">
                  <c:v>Blue HPN</c:v>
                </c:pt>
                <c:pt idx="1">
                  <c:v>PPO 80/20</c:v>
                </c:pt>
                <c:pt idx="2">
                  <c:v>HDHP</c:v>
                </c:pt>
              </c:strCache>
            </c:strRef>
          </c:cat>
          <c:val>
            <c:numRef>
              <c:f>'Analyst Use Only'!$R$31:$T$31</c:f>
              <c:numCache>
                <c:formatCode>"$"#,##0_);[Red]\("$"#,##0\)</c:formatCode>
                <c:ptCount val="3"/>
                <c:pt idx="0">
                  <c:v>0</c:v>
                </c:pt>
                <c:pt idx="1">
                  <c:v>0</c:v>
                </c:pt>
                <c:pt idx="2">
                  <c:v>0</c:v>
                </c:pt>
              </c:numCache>
            </c:numRef>
          </c:val>
          <c:extLst>
            <c:ext xmlns:c16="http://schemas.microsoft.com/office/drawing/2014/chart" uri="{C3380CC4-5D6E-409C-BE32-E72D297353CC}">
              <c16:uniqueId val="{00000003-9FE8-479B-9C4B-26DB75F0E243}"/>
            </c:ext>
          </c:extLst>
        </c:ser>
        <c:dLbls>
          <c:showLegendKey val="0"/>
          <c:showVal val="0"/>
          <c:showCatName val="0"/>
          <c:showSerName val="0"/>
          <c:showPercent val="0"/>
          <c:showBubbleSize val="0"/>
        </c:dLbls>
        <c:gapWidth val="80"/>
        <c:overlap val="100"/>
        <c:axId val="768483384"/>
        <c:axId val="768491616"/>
        <c:extLst>
          <c:ext xmlns:c15="http://schemas.microsoft.com/office/drawing/2012/chart" uri="{02D57815-91ED-43cb-92C2-25804820EDAC}">
            <c15:filteredBarSeries>
              <c15:ser>
                <c:idx val="2"/>
                <c:order val="3"/>
                <c:tx>
                  <c:strRef>
                    <c:extLst>
                      <c:ext uri="{02D57815-91ED-43cb-92C2-25804820EDAC}">
                        <c15:formulaRef>
                          <c15:sqref>'Analyst Use Only'!$Q$32</c15:sqref>
                        </c15:formulaRef>
                      </c:ext>
                    </c:extLst>
                    <c:strCache>
                      <c:ptCount val="1"/>
                    </c:strCache>
                  </c:strRef>
                </c:tx>
                <c:spPr>
                  <a:gradFill>
                    <a:gsLst>
                      <a:gs pos="0">
                        <a:srgbClr val="41A7C3"/>
                      </a:gs>
                      <a:gs pos="100000">
                        <a:schemeClr val="accent5">
                          <a:lumMod val="60000"/>
                          <a:lumOff val="40000"/>
                        </a:schemeClr>
                      </a:gs>
                    </a:gsLst>
                    <a:lin ang="13500000" scaled="1"/>
                  </a:gradFill>
                  <a:ln w="19050">
                    <a:solidFill>
                      <a:schemeClr val="bg1"/>
                    </a:solidFill>
                  </a:ln>
                </c:spPr>
                <c:invertIfNegative val="0"/>
                <c:dLbls>
                  <c:spPr>
                    <a:noFill/>
                    <a:ln>
                      <a:noFill/>
                    </a:ln>
                    <a:effectLst/>
                  </c:spPr>
                  <c:txPr>
                    <a:bodyPr/>
                    <a:lstStyle/>
                    <a:p>
                      <a:pPr>
                        <a:defRPr sz="1000" b="0" i="0" u="none" strike="noStrike" baseline="0">
                          <a:solidFill>
                            <a:srgbClr val="000000"/>
                          </a:solidFill>
                          <a:latin typeface="Garamond"/>
                          <a:ea typeface="Garamond"/>
                          <a:cs typeface="Garamond"/>
                        </a:defRPr>
                      </a:pPr>
                      <a:endParaRPr lang="en-US"/>
                    </a:p>
                  </c:txPr>
                  <c:showLegendKey val="0"/>
                  <c:showVal val="1"/>
                  <c:showCatName val="0"/>
                  <c:showSerName val="0"/>
                  <c:showPercent val="0"/>
                  <c:showBubbleSize val="0"/>
                  <c:showLeaderLines val="0"/>
                  <c:extLst>
                    <c:ext uri="{CE6537A1-D6FC-4f65-9D91-7224C49458BB}">
                      <c15:showLeaderLines val="0"/>
                    </c:ext>
                  </c:extLst>
                </c:dLbls>
                <c:cat>
                  <c:strRef>
                    <c:extLst>
                      <c:ext uri="{02D57815-91ED-43cb-92C2-25804820EDAC}">
                        <c15:formulaRef>
                          <c15:sqref>'Analyst Use Only'!$R$28:$T$28</c15:sqref>
                        </c15:formulaRef>
                      </c:ext>
                    </c:extLst>
                    <c:strCache>
                      <c:ptCount val="3"/>
                      <c:pt idx="0">
                        <c:v>Blue HPN</c:v>
                      </c:pt>
                      <c:pt idx="1">
                        <c:v>PPO 80/20</c:v>
                      </c:pt>
                      <c:pt idx="2">
                        <c:v>HDHP</c:v>
                      </c:pt>
                    </c:strCache>
                  </c:strRef>
                </c:cat>
                <c:val>
                  <c:numRef>
                    <c:extLst>
                      <c:ext uri="{02D57815-91ED-43cb-92C2-25804820EDAC}">
                        <c15:formulaRef>
                          <c15:sqref>'Analyst Use Only'!$R$32:$T$32</c15:sqref>
                        </c15:formulaRef>
                      </c:ext>
                    </c:extLst>
                    <c:numCache>
                      <c:formatCode>General</c:formatCode>
                      <c:ptCount val="3"/>
                    </c:numCache>
                  </c:numRef>
                </c:val>
                <c:extLst>
                  <c:ext xmlns:c16="http://schemas.microsoft.com/office/drawing/2014/chart" uri="{C3380CC4-5D6E-409C-BE32-E72D297353CC}">
                    <c16:uniqueId val="{00000005-9FE8-479B-9C4B-26DB75F0E243}"/>
                  </c:ext>
                </c:extLst>
              </c15:ser>
            </c15:filteredBarSeries>
          </c:ext>
        </c:extLst>
      </c:barChart>
      <c:lineChart>
        <c:grouping val="standard"/>
        <c:varyColors val="0"/>
        <c:ser>
          <c:idx val="3"/>
          <c:order val="4"/>
          <c:tx>
            <c:strRef>
              <c:f>'Analyst Use Only'!$Q$34</c:f>
              <c:strCache>
                <c:ptCount val="1"/>
                <c:pt idx="0">
                  <c:v>Total</c:v>
                </c:pt>
              </c:strCache>
            </c:strRef>
          </c:tx>
          <c:spPr>
            <a:ln>
              <a:noFill/>
            </a:ln>
          </c:spPr>
          <c:marker>
            <c:symbol val="diamond"/>
            <c:size val="7"/>
            <c:spPr>
              <a:gradFill>
                <a:gsLst>
                  <a:gs pos="0">
                    <a:srgbClr val="79C1D5"/>
                  </a:gs>
                  <a:gs pos="100000">
                    <a:schemeClr val="accent5">
                      <a:lumMod val="75000"/>
                    </a:schemeClr>
                  </a:gs>
                </a:gsLst>
                <a:lin ang="13500000" scaled="1"/>
              </a:gradFill>
              <a:ln w="19050">
                <a:solidFill>
                  <a:schemeClr val="bg1"/>
                </a:solidFill>
              </a:ln>
            </c:spPr>
          </c:marker>
          <c:dLbls>
            <c:spPr>
              <a:noFill/>
              <a:ln>
                <a:noFill/>
              </a:ln>
              <a:effectLst/>
            </c:spPr>
            <c:txPr>
              <a:bodyPr/>
              <a:lstStyle/>
              <a:p>
                <a:pPr>
                  <a:defRPr sz="1000" b="0" i="0" u="none" strike="noStrike" baseline="0">
                    <a:solidFill>
                      <a:srgbClr val="000000"/>
                    </a:solidFill>
                    <a:latin typeface="Garamond"/>
                    <a:ea typeface="Garamond"/>
                    <a:cs typeface="Garamond"/>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'Analyst Use Only'!$S$64:$T$64</c:f>
              <c:numCache>
                <c:formatCode>General</c:formatCode>
                <c:ptCount val="2"/>
              </c:numCache>
            </c:numRef>
          </c:cat>
          <c:val>
            <c:numRef>
              <c:f>'Analyst Use Only'!$R$34:$T$34</c:f>
              <c:numCache>
                <c:formatCode>"$"#,##0_);[Red]\("$"#,##0\)</c:formatCode>
                <c:ptCount val="3"/>
                <c:pt idx="0">
                  <c:v>0</c:v>
                </c:pt>
                <c:pt idx="1">
                  <c:v>0</c:v>
                </c:pt>
                <c:pt idx="2">
                  <c:v>0</c:v>
                </c:pt>
              </c:numCache>
            </c:numRef>
          </c:val>
          <c:smooth val="0"/>
          <c:extLst>
            <c:ext xmlns:c16="http://schemas.microsoft.com/office/drawing/2014/chart" uri="{C3380CC4-5D6E-409C-BE32-E72D297353CC}">
              <c16:uniqueId val="{00000004-9FE8-479B-9C4B-26DB75F0E243}"/>
            </c:ext>
          </c:extLst>
        </c:ser>
        <c:dLbls>
          <c:showLegendKey val="0"/>
          <c:showVal val="0"/>
          <c:showCatName val="0"/>
          <c:showSerName val="0"/>
          <c:showPercent val="0"/>
          <c:showBubbleSize val="0"/>
        </c:dLbls>
        <c:marker val="1"/>
        <c:smooth val="0"/>
        <c:axId val="768483384"/>
        <c:axId val="768491616"/>
      </c:lineChart>
      <c:catAx>
        <c:axId val="768483384"/>
        <c:scaling>
          <c:orientation val="minMax"/>
        </c:scaling>
        <c:delete val="0"/>
        <c:axPos val="b"/>
        <c:numFmt formatCode="General" sourceLinked="1"/>
        <c:majorTickMark val="out"/>
        <c:minorTickMark val="none"/>
        <c:tickLblPos val="nextTo"/>
        <c:spPr>
          <a:noFill/>
        </c:spPr>
        <c:txPr>
          <a:bodyPr rot="0" vert="horz"/>
          <a:lstStyle/>
          <a:p>
            <a:pPr>
              <a:defRPr sz="1050" b="1" i="0" u="none" strike="noStrike" baseline="0">
                <a:solidFill>
                  <a:srgbClr val="000000"/>
                </a:solidFill>
                <a:latin typeface="Garamond"/>
                <a:ea typeface="Garamond"/>
                <a:cs typeface="Garamond"/>
              </a:defRPr>
            </a:pPr>
            <a:endParaRPr lang="en-US"/>
          </a:p>
        </c:txPr>
        <c:crossAx val="768491616"/>
        <c:crosses val="autoZero"/>
        <c:auto val="1"/>
        <c:lblAlgn val="ctr"/>
        <c:lblOffset val="100"/>
        <c:noMultiLvlLbl val="0"/>
      </c:catAx>
      <c:valAx>
        <c:axId val="768491616"/>
        <c:scaling>
          <c:orientation val="minMax"/>
          <c:min val="0"/>
        </c:scaling>
        <c:delete val="0"/>
        <c:axPos val="l"/>
        <c:numFmt formatCode="&quot;$&quot;#,##0_);[Red]\(&quot;$&quot;#,##0\)" sourceLinked="1"/>
        <c:majorTickMark val="out"/>
        <c:minorTickMark val="none"/>
        <c:tickLblPos val="nextTo"/>
        <c:txPr>
          <a:bodyPr rot="0" vert="horz"/>
          <a:lstStyle/>
          <a:p>
            <a:pPr>
              <a:defRPr sz="1000" b="0" i="0" u="none" strike="noStrike" baseline="0">
                <a:solidFill>
                  <a:srgbClr val="000000"/>
                </a:solidFill>
                <a:latin typeface="Garamond"/>
                <a:ea typeface="Garamond"/>
                <a:cs typeface="Garamond"/>
              </a:defRPr>
            </a:pPr>
            <a:endParaRPr lang="en-US"/>
          </a:p>
        </c:txPr>
        <c:crossAx val="768483384"/>
        <c:crosses val="autoZero"/>
        <c:crossBetween val="between"/>
      </c:valAx>
      <c:spPr>
        <a:noFill/>
        <a:ln w="25400">
          <a:noFill/>
        </a:ln>
      </c:spPr>
    </c:plotArea>
    <c:legend>
      <c:legendPos val="t"/>
      <c:layout>
        <c:manualLayout>
          <c:xMode val="edge"/>
          <c:yMode val="edge"/>
          <c:x val="0.25778950629814423"/>
          <c:y val="7.310065971483295E-3"/>
          <c:w val="0.73799720082479514"/>
          <c:h val="0.1704915939561609"/>
        </c:manualLayout>
      </c:layout>
      <c:overlay val="0"/>
      <c:txPr>
        <a:bodyPr/>
        <a:lstStyle/>
        <a:p>
          <a:pPr>
            <a:defRPr sz="1285" b="0" i="0" u="none" strike="noStrike" baseline="0">
              <a:solidFill>
                <a:srgbClr val="000000"/>
              </a:solidFill>
              <a:latin typeface="Garamond"/>
              <a:ea typeface="Garamond"/>
              <a:cs typeface="Garamond"/>
            </a:defRPr>
          </a:pPr>
          <a:endParaRPr lang="en-US"/>
        </a:p>
      </c:txPr>
    </c:legend>
    <c:plotVisOnly val="1"/>
    <c:dispBlanksAs val="gap"/>
    <c:showDLblsOverMax val="0"/>
  </c:chart>
  <c:spPr>
    <a:noFill/>
    <a:ln>
      <a:noFill/>
    </a:ln>
  </c:spPr>
  <c:txPr>
    <a:bodyPr/>
    <a:lstStyle/>
    <a:p>
      <a:pPr>
        <a:defRPr sz="1000" b="0" i="0" u="none" strike="noStrike" baseline="0">
          <a:solidFill>
            <a:srgbClr val="000000"/>
          </a:solidFill>
          <a:latin typeface="Garamond"/>
          <a:ea typeface="Garamond"/>
          <a:cs typeface="Garamond"/>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tmp"/></Relationships>
</file>

<file path=xl/drawings/_rels/drawing3.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15</xdr:col>
      <xdr:colOff>781050</xdr:colOff>
      <xdr:row>0</xdr:row>
      <xdr:rowOff>152400</xdr:rowOff>
    </xdr:from>
    <xdr:to>
      <xdr:col>18</xdr:col>
      <xdr:colOff>169545</xdr:colOff>
      <xdr:row>11</xdr:row>
      <xdr:rowOff>131445</xdr:rowOff>
    </xdr:to>
    <xdr:pic>
      <xdr:nvPicPr>
        <xdr:cNvPr id="1081" name="Picture 2">
          <a:extLst>
            <a:ext uri="{FF2B5EF4-FFF2-40B4-BE49-F238E27FC236}">
              <a16:creationId xmlns:a16="http://schemas.microsoft.com/office/drawing/2014/main" id="{00000000-0008-0000-0000-00003904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16325" y="152400"/>
          <a:ext cx="3790950" cy="2257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0</xdr:colOff>
      <xdr:row>39</xdr:row>
      <xdr:rowOff>0</xdr:rowOff>
    </xdr:from>
    <xdr:to>
      <xdr:col>16</xdr:col>
      <xdr:colOff>144001</xdr:colOff>
      <xdr:row>53</xdr:row>
      <xdr:rowOff>57544</xdr:rowOff>
    </xdr:to>
    <xdr:pic>
      <xdr:nvPicPr>
        <xdr:cNvPr id="8" name="Picture 7" descr="Screen Clipping">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95475" y="8305800"/>
          <a:ext cx="8068801" cy="2819794"/>
        </a:xfrm>
        <a:prstGeom prst="rect">
          <a:avLst/>
        </a:prstGeom>
      </xdr:spPr>
    </xdr:pic>
    <xdr:clientData/>
  </xdr:twoCellAnchor>
  <xdr:twoCellAnchor editAs="oneCell">
    <xdr:from>
      <xdr:col>3</xdr:col>
      <xdr:colOff>539750</xdr:colOff>
      <xdr:row>15</xdr:row>
      <xdr:rowOff>28575</xdr:rowOff>
    </xdr:from>
    <xdr:to>
      <xdr:col>12</xdr:col>
      <xdr:colOff>597710</xdr:colOff>
      <xdr:row>21</xdr:row>
      <xdr:rowOff>44611</xdr:rowOff>
    </xdr:to>
    <xdr:pic>
      <xdr:nvPicPr>
        <xdr:cNvPr id="7" name="Picture 6">
          <a:extLst>
            <a:ext uri="{FF2B5EF4-FFF2-40B4-BE49-F238E27FC236}">
              <a16:creationId xmlns:a16="http://schemas.microsoft.com/office/drawing/2014/main" id="{AD109246-B5B8-F6B1-251C-40B85B8C6CA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520950" y="3648075"/>
          <a:ext cx="5801535" cy="1149511"/>
        </a:xfrm>
        <a:prstGeom prst="rect">
          <a:avLst/>
        </a:prstGeom>
      </xdr:spPr>
    </xdr:pic>
    <xdr:clientData/>
  </xdr:twoCellAnchor>
  <xdr:twoCellAnchor editAs="oneCell">
    <xdr:from>
      <xdr:col>3</xdr:col>
      <xdr:colOff>587375</xdr:colOff>
      <xdr:row>22</xdr:row>
      <xdr:rowOff>25400</xdr:rowOff>
    </xdr:from>
    <xdr:to>
      <xdr:col>12</xdr:col>
      <xdr:colOff>562773</xdr:colOff>
      <xdr:row>29</xdr:row>
      <xdr:rowOff>38285</xdr:rowOff>
    </xdr:to>
    <xdr:pic>
      <xdr:nvPicPr>
        <xdr:cNvPr id="10" name="Picture 9">
          <a:extLst>
            <a:ext uri="{FF2B5EF4-FFF2-40B4-BE49-F238E27FC236}">
              <a16:creationId xmlns:a16="http://schemas.microsoft.com/office/drawing/2014/main" id="{880F1998-8247-E321-1A3D-9BCF91AAE516}"/>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2568575" y="4959350"/>
          <a:ext cx="5718973" cy="132733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228600</xdr:colOff>
      <xdr:row>23</xdr:row>
      <xdr:rowOff>85725</xdr:rowOff>
    </xdr:from>
    <xdr:to>
      <xdr:col>6</xdr:col>
      <xdr:colOff>914400</xdr:colOff>
      <xdr:row>45</xdr:row>
      <xdr:rowOff>123825</xdr:rowOff>
    </xdr:to>
    <xdr:graphicFrame macro="">
      <xdr:nvGraphicFramePr>
        <xdr:cNvPr id="5227" name="Chart 3">
          <a:extLst>
            <a:ext uri="{FF2B5EF4-FFF2-40B4-BE49-F238E27FC236}">
              <a16:creationId xmlns:a16="http://schemas.microsoft.com/office/drawing/2014/main" id="{00000000-0008-0000-0200-00006B1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600075</xdr:colOff>
      <xdr:row>21</xdr:row>
      <xdr:rowOff>76200</xdr:rowOff>
    </xdr:from>
    <xdr:to>
      <xdr:col>14</xdr:col>
      <xdr:colOff>95250</xdr:colOff>
      <xdr:row>46</xdr:row>
      <xdr:rowOff>240665</xdr:rowOff>
    </xdr:to>
    <xdr:pic>
      <xdr:nvPicPr>
        <xdr:cNvPr id="5228" name="Picture 7">
          <a:extLst>
            <a:ext uri="{FF2B5EF4-FFF2-40B4-BE49-F238E27FC236}">
              <a16:creationId xmlns:a16="http://schemas.microsoft.com/office/drawing/2014/main" id="{00000000-0008-0000-0200-00006C14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r="37405"/>
        <a:stretch>
          <a:fillRect/>
        </a:stretch>
      </xdr:blipFill>
      <xdr:spPr bwMode="auto">
        <a:xfrm>
          <a:off x="8782050" y="4200525"/>
          <a:ext cx="5286375" cy="503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E170"/>
  <sheetViews>
    <sheetView zoomScaleNormal="100" workbookViewId="0">
      <selection activeCell="H48" sqref="H48"/>
    </sheetView>
  </sheetViews>
  <sheetFormatPr defaultColWidth="9.08984375" defaultRowHeight="14.5" x14ac:dyDescent="0.35"/>
  <cols>
    <col min="1" max="1" width="9.08984375" style="1"/>
    <col min="2" max="2" width="44.36328125" style="1" customWidth="1"/>
    <col min="3" max="3" width="8.6328125" style="1" customWidth="1"/>
    <col min="4" max="4" width="22" style="1" customWidth="1"/>
    <col min="5" max="5" width="10.08984375" style="11" customWidth="1"/>
    <col min="6" max="6" width="22" style="1" customWidth="1"/>
    <col min="7" max="7" width="10" style="1" bestFit="1" customWidth="1"/>
    <col min="8" max="9" width="15.54296875" style="1" customWidth="1"/>
    <col min="10" max="10" width="16.453125" style="1" bestFit="1" customWidth="1"/>
    <col min="11" max="11" width="21.453125" style="1" customWidth="1"/>
    <col min="12" max="12" width="9.453125" style="1" bestFit="1" customWidth="1"/>
    <col min="13" max="13" width="10" style="1" bestFit="1" customWidth="1"/>
    <col min="14" max="15" width="9.08984375" style="1"/>
    <col min="16" max="16" width="16.36328125" style="1" bestFit="1" customWidth="1"/>
    <col min="17" max="17" width="38.90625" style="1" bestFit="1" customWidth="1"/>
    <col min="18" max="19" width="10.6328125" style="1" bestFit="1" customWidth="1"/>
    <col min="20" max="20" width="8.81640625" style="1" customWidth="1"/>
    <col min="21" max="21" width="11.6328125" style="1" customWidth="1"/>
    <col min="22" max="22" width="9.08984375" style="1"/>
    <col min="23" max="23" width="20.90625" style="3" customWidth="1"/>
    <col min="24" max="24" width="15.6328125" style="3" customWidth="1"/>
    <col min="25" max="26" width="15.6328125" style="1" customWidth="1"/>
    <col min="27" max="27" width="9.08984375" style="1"/>
    <col min="28" max="28" width="20.453125" style="1" bestFit="1" customWidth="1"/>
    <col min="29" max="31" width="15.6328125" style="1" customWidth="1"/>
    <col min="32" max="16384" width="9.08984375" style="1"/>
  </cols>
  <sheetData>
    <row r="1" spans="2:26" ht="20.5" x14ac:dyDescent="0.45">
      <c r="B1" s="10" t="s">
        <v>0</v>
      </c>
      <c r="J1" s="12"/>
      <c r="K1" s="12"/>
    </row>
    <row r="2" spans="2:26" x14ac:dyDescent="0.35">
      <c r="B2" s="66" t="s">
        <v>257</v>
      </c>
      <c r="C2" s="66"/>
      <c r="D2" s="66"/>
      <c r="E2" s="67" t="str">
        <f>'Plan Comparison'!E3</f>
        <v>- - Select One - -</v>
      </c>
      <c r="F2" s="67"/>
      <c r="H2" s="2"/>
      <c r="I2" s="2"/>
      <c r="J2" s="68"/>
      <c r="K2" s="68"/>
      <c r="L2" s="2"/>
      <c r="M2" s="2"/>
      <c r="N2" s="2"/>
    </row>
    <row r="3" spans="2:26" customFormat="1" x14ac:dyDescent="0.35">
      <c r="B3" s="1" t="s">
        <v>12</v>
      </c>
      <c r="E3" s="71" t="s">
        <v>9</v>
      </c>
      <c r="J3" s="69"/>
      <c r="K3" s="69"/>
    </row>
    <row r="4" spans="2:26" customFormat="1" x14ac:dyDescent="0.35">
      <c r="J4" s="69"/>
      <c r="K4" s="69"/>
    </row>
    <row r="5" spans="2:26" ht="15.5" x14ac:dyDescent="0.35">
      <c r="B5" s="66" t="s">
        <v>261</v>
      </c>
      <c r="C5" s="66"/>
      <c r="D5" s="66"/>
      <c r="E5" s="67" t="s">
        <v>9</v>
      </c>
      <c r="F5" s="267"/>
      <c r="G5" s="267"/>
      <c r="H5" s="267"/>
      <c r="I5" s="150"/>
      <c r="J5" s="199" t="s">
        <v>8</v>
      </c>
      <c r="K5" s="199" t="s">
        <v>8</v>
      </c>
      <c r="L5" s="2"/>
      <c r="M5" s="2"/>
      <c r="N5" s="2"/>
      <c r="X5" s="4" t="s">
        <v>33</v>
      </c>
      <c r="Y5" s="5" t="s">
        <v>31</v>
      </c>
      <c r="Z5" s="5" t="s">
        <v>32</v>
      </c>
    </row>
    <row r="6" spans="2:26" ht="15.5" x14ac:dyDescent="0.35">
      <c r="B6" s="1" t="s">
        <v>35</v>
      </c>
      <c r="E6" s="72" t="s">
        <v>8</v>
      </c>
      <c r="F6" s="267"/>
      <c r="G6" s="267"/>
      <c r="H6" s="267"/>
      <c r="I6" s="150"/>
      <c r="J6" s="199" t="s">
        <v>9</v>
      </c>
      <c r="K6" s="199" t="s">
        <v>9</v>
      </c>
      <c r="L6" s="264"/>
      <c r="M6" s="264"/>
      <c r="N6" s="2"/>
      <c r="W6" s="13" t="s">
        <v>3</v>
      </c>
      <c r="X6" s="14">
        <f>'Plan Comparison'!E9</f>
        <v>0</v>
      </c>
      <c r="Y6" s="7">
        <f>'Plan Comparison'!F9</f>
        <v>0</v>
      </c>
      <c r="Z6" s="7">
        <f>'Plan Comparison'!G9</f>
        <v>0</v>
      </c>
    </row>
    <row r="7" spans="2:26" ht="20.5" x14ac:dyDescent="0.45">
      <c r="B7" s="15"/>
      <c r="D7" s="15"/>
      <c r="E7" s="16"/>
      <c r="F7" s="15"/>
      <c r="G7" s="248"/>
      <c r="H7" s="2"/>
      <c r="I7" s="2"/>
      <c r="J7" s="68"/>
      <c r="K7" s="68"/>
      <c r="L7" s="197"/>
      <c r="M7" s="197"/>
      <c r="N7" s="2"/>
      <c r="W7" s="17" t="s">
        <v>4</v>
      </c>
      <c r="X7" s="14">
        <f>'Plan Comparison'!E10</f>
        <v>0</v>
      </c>
      <c r="Y7" s="7">
        <f>'Plan Comparison'!F10</f>
        <v>0</v>
      </c>
      <c r="Z7" s="7">
        <f>'Plan Comparison'!G10</f>
        <v>0</v>
      </c>
    </row>
    <row r="8" spans="2:26" x14ac:dyDescent="0.35">
      <c r="B8" s="18"/>
      <c r="C8" s="70"/>
      <c r="D8" s="261" t="s">
        <v>325</v>
      </c>
      <c r="E8" s="261"/>
      <c r="F8" s="268" t="s">
        <v>258</v>
      </c>
      <c r="G8" s="269"/>
      <c r="H8" s="261" t="s">
        <v>288</v>
      </c>
      <c r="I8" s="261"/>
      <c r="J8" s="68"/>
      <c r="K8" s="12" t="str">
        <f>D8</f>
        <v>Blue HPN</v>
      </c>
      <c r="L8" s="197"/>
      <c r="M8" s="197"/>
      <c r="N8" s="2"/>
      <c r="S8" s="8"/>
      <c r="W8" s="17" t="s">
        <v>13</v>
      </c>
      <c r="X8" s="14">
        <f>'Plan Comparison'!E11</f>
        <v>0</v>
      </c>
      <c r="Y8" s="7">
        <f>'Plan Comparison'!F11</f>
        <v>0</v>
      </c>
      <c r="Z8" s="7">
        <f>'Plan Comparison'!G11</f>
        <v>0</v>
      </c>
    </row>
    <row r="9" spans="2:26" x14ac:dyDescent="0.35">
      <c r="B9" s="265" t="s">
        <v>1</v>
      </c>
      <c r="C9" s="266"/>
      <c r="D9" s="252"/>
      <c r="E9" s="253"/>
      <c r="F9" s="252"/>
      <c r="G9" s="253"/>
      <c r="H9" s="252"/>
      <c r="I9" s="253"/>
      <c r="J9" s="2"/>
      <c r="K9" s="12" t="str">
        <f>H8</f>
        <v>PPO 80/20</v>
      </c>
      <c r="L9" s="197"/>
      <c r="M9" s="197"/>
      <c r="N9" s="2"/>
      <c r="S9" s="8"/>
      <c r="W9" s="19" t="s">
        <v>5</v>
      </c>
      <c r="X9" s="14">
        <f>'Plan Comparison'!E12</f>
        <v>0</v>
      </c>
      <c r="Y9" s="7">
        <f>'Plan Comparison'!F12</f>
        <v>0</v>
      </c>
      <c r="Z9" s="7">
        <f>'Plan Comparison'!G12</f>
        <v>0</v>
      </c>
    </row>
    <row r="10" spans="2:26" x14ac:dyDescent="0.35">
      <c r="B10" s="20"/>
      <c r="C10" s="21" t="s">
        <v>10</v>
      </c>
      <c r="D10" s="262">
        <v>1150</v>
      </c>
      <c r="E10" s="263"/>
      <c r="F10" s="262">
        <v>3000</v>
      </c>
      <c r="G10" s="263"/>
      <c r="H10" s="262">
        <v>1400</v>
      </c>
      <c r="I10" s="263"/>
      <c r="J10" s="2"/>
      <c r="K10" s="12" t="str">
        <f>F8</f>
        <v>HDHP</v>
      </c>
      <c r="L10" s="197"/>
      <c r="M10" s="197"/>
      <c r="N10" s="2"/>
      <c r="S10" s="8"/>
      <c r="W10" s="19" t="s">
        <v>14</v>
      </c>
      <c r="X10" s="14">
        <f>'Plan Comparison'!E13</f>
        <v>0</v>
      </c>
      <c r="Y10" s="7">
        <f>'Plan Comparison'!F13</f>
        <v>0</v>
      </c>
      <c r="Z10" s="7">
        <f>'Plan Comparison'!G13</f>
        <v>0</v>
      </c>
    </row>
    <row r="11" spans="2:26" x14ac:dyDescent="0.35">
      <c r="B11" s="22"/>
      <c r="C11" s="23" t="s">
        <v>11</v>
      </c>
      <c r="D11" s="256">
        <v>2300</v>
      </c>
      <c r="E11" s="257"/>
      <c r="F11" s="256">
        <v>6000</v>
      </c>
      <c r="G11" s="257"/>
      <c r="H11" s="256">
        <v>2800</v>
      </c>
      <c r="I11" s="257"/>
      <c r="J11" s="2"/>
      <c r="K11" s="12"/>
      <c r="L11" s="2"/>
      <c r="M11" s="2"/>
      <c r="N11" s="2"/>
      <c r="S11" s="8"/>
      <c r="W11" s="19" t="s">
        <v>6</v>
      </c>
      <c r="X11" s="14">
        <f>'Plan Comparison'!E14</f>
        <v>0</v>
      </c>
      <c r="Y11" s="7">
        <f>'Plan Comparison'!F14</f>
        <v>0</v>
      </c>
      <c r="Z11" s="7">
        <f>'Plan Comparison'!G14</f>
        <v>0</v>
      </c>
    </row>
    <row r="12" spans="2:26" x14ac:dyDescent="0.35">
      <c r="B12" s="24" t="s">
        <v>2</v>
      </c>
      <c r="C12" s="25"/>
      <c r="D12" s="252"/>
      <c r="E12" s="253"/>
      <c r="F12" s="252"/>
      <c r="G12" s="253"/>
      <c r="H12" s="252"/>
      <c r="I12" s="253"/>
      <c r="W12" s="19" t="s">
        <v>7</v>
      </c>
      <c r="X12" s="14">
        <f>'Plan Comparison'!E15</f>
        <v>0</v>
      </c>
      <c r="Y12" s="7">
        <f>'Plan Comparison'!F15</f>
        <v>0</v>
      </c>
      <c r="Z12" s="7">
        <f>'Plan Comparison'!G15</f>
        <v>0</v>
      </c>
    </row>
    <row r="13" spans="2:26" x14ac:dyDescent="0.35">
      <c r="B13" s="20"/>
      <c r="C13" s="21" t="s">
        <v>10</v>
      </c>
      <c r="D13" s="286">
        <v>4600</v>
      </c>
      <c r="E13" s="287"/>
      <c r="F13" s="262">
        <v>3750</v>
      </c>
      <c r="G13" s="263"/>
      <c r="H13" s="286">
        <v>4600</v>
      </c>
      <c r="I13" s="287"/>
      <c r="W13" s="19" t="s">
        <v>15</v>
      </c>
      <c r="X13" s="14">
        <f>'Plan Comparison'!E16</f>
        <v>0</v>
      </c>
      <c r="Y13" s="7">
        <f>'Plan Comparison'!F16</f>
        <v>0</v>
      </c>
      <c r="Z13" s="7">
        <f>'Plan Comparison'!G16</f>
        <v>0</v>
      </c>
    </row>
    <row r="14" spans="2:26" x14ac:dyDescent="0.35">
      <c r="B14" s="22"/>
      <c r="C14" s="23" t="s">
        <v>11</v>
      </c>
      <c r="D14" s="288">
        <v>9200</v>
      </c>
      <c r="E14" s="289"/>
      <c r="F14" s="256">
        <v>7500</v>
      </c>
      <c r="G14" s="257"/>
      <c r="H14" s="288">
        <v>9200</v>
      </c>
      <c r="I14" s="289"/>
      <c r="P14" s="33"/>
      <c r="Q14" s="33"/>
      <c r="W14" s="19" t="s">
        <v>17</v>
      </c>
      <c r="X14" s="14">
        <f>'Plan Comparison'!E17</f>
        <v>0</v>
      </c>
      <c r="Y14" s="7">
        <f>'Plan Comparison'!F17</f>
        <v>0</v>
      </c>
      <c r="Z14" s="7">
        <f>'Plan Comparison'!G17</f>
        <v>0</v>
      </c>
    </row>
    <row r="15" spans="2:26" x14ac:dyDescent="0.35">
      <c r="B15" s="24" t="s">
        <v>30</v>
      </c>
      <c r="C15" s="21"/>
      <c r="D15" s="254">
        <v>0.2</v>
      </c>
      <c r="E15" s="255"/>
      <c r="F15" s="254">
        <v>0.2</v>
      </c>
      <c r="G15" s="255"/>
      <c r="H15" s="254">
        <v>0.2</v>
      </c>
      <c r="I15" s="255"/>
      <c r="L15" s="1" t="s">
        <v>256</v>
      </c>
      <c r="P15" s="33" t="s">
        <v>41</v>
      </c>
      <c r="Q15" s="33"/>
      <c r="W15" s="19" t="s">
        <v>18</v>
      </c>
      <c r="X15" s="14">
        <f>'Plan Comparison'!E18</f>
        <v>0</v>
      </c>
      <c r="Y15" s="7">
        <f>'Plan Comparison'!F18</f>
        <v>0</v>
      </c>
      <c r="Z15" s="7">
        <f>'Plan Comparison'!G18</f>
        <v>0</v>
      </c>
    </row>
    <row r="16" spans="2:26" x14ac:dyDescent="0.35">
      <c r="B16" s="26" t="s">
        <v>3</v>
      </c>
      <c r="C16" s="27"/>
      <c r="D16" s="28">
        <v>0</v>
      </c>
      <c r="E16" s="29">
        <f t="array" ref="E16:E18">+D15</f>
        <v>0.2</v>
      </c>
      <c r="F16" s="30">
        <v>0</v>
      </c>
      <c r="G16" s="29">
        <f t="shared" ref="G16:G26" si="0">HDHP_Coinsurance</f>
        <v>0.2</v>
      </c>
      <c r="H16" s="30">
        <v>0</v>
      </c>
      <c r="I16" s="29">
        <f>$H$15</f>
        <v>0.2</v>
      </c>
      <c r="K16" s="1" t="str">
        <f>B16</f>
        <v>Inpatient Hospital</v>
      </c>
      <c r="L16" s="8">
        <f>+Sheet1!F35*1.09</f>
        <v>16194.84086956522</v>
      </c>
      <c r="P16" s="53" t="str">
        <f t="shared" ref="P16:P26" si="1">B16</f>
        <v>Inpatient Hospital</v>
      </c>
      <c r="Q16" s="54" t="str">
        <f>IF(F16=0,"-",F16)</f>
        <v>-</v>
      </c>
      <c r="W16" s="31" t="s">
        <v>19</v>
      </c>
      <c r="X16" s="14">
        <f>'Plan Comparison'!E19</f>
        <v>0</v>
      </c>
      <c r="Y16" s="7">
        <f>'Plan Comparison'!F19</f>
        <v>0</v>
      </c>
      <c r="Z16" s="7">
        <f>'Plan Comparison'!G19</f>
        <v>0</v>
      </c>
    </row>
    <row r="17" spans="2:30" x14ac:dyDescent="0.35">
      <c r="B17" s="32" t="s">
        <v>4</v>
      </c>
      <c r="C17" s="33"/>
      <c r="D17" s="28">
        <v>0</v>
      </c>
      <c r="E17" s="29">
        <v>0.2</v>
      </c>
      <c r="F17" s="30">
        <v>0</v>
      </c>
      <c r="G17" s="29">
        <f t="shared" si="0"/>
        <v>0.2</v>
      </c>
      <c r="H17" s="30">
        <v>0</v>
      </c>
      <c r="I17" s="29">
        <f t="shared" ref="I17:I18" si="2">$H$15</f>
        <v>0.2</v>
      </c>
      <c r="K17" s="1" t="str">
        <f t="shared" ref="K17:K26" si="3">B17</f>
        <v>Outpatient</v>
      </c>
      <c r="L17" s="8">
        <f>+AVERAGE(Sheet1!B1:B90)*1.09</f>
        <v>2222.4769426229509</v>
      </c>
      <c r="P17" s="53" t="str">
        <f t="shared" si="1"/>
        <v>Outpatient</v>
      </c>
      <c r="Q17" s="54" t="str">
        <f t="shared" ref="Q17:Q26" si="4">IF(F17=0,"-",F17)</f>
        <v>-</v>
      </c>
      <c r="W17" s="1"/>
      <c r="X17" s="1"/>
    </row>
    <row r="18" spans="2:30" x14ac:dyDescent="0.35">
      <c r="B18" s="32" t="s">
        <v>13</v>
      </c>
      <c r="C18" s="33"/>
      <c r="D18" s="28">
        <v>0</v>
      </c>
      <c r="E18" s="29">
        <v>0.2</v>
      </c>
      <c r="F18" s="30">
        <v>0</v>
      </c>
      <c r="G18" s="29">
        <f t="shared" si="0"/>
        <v>0.2</v>
      </c>
      <c r="H18" s="30">
        <v>0</v>
      </c>
      <c r="I18" s="29">
        <f t="shared" si="2"/>
        <v>0.2</v>
      </c>
      <c r="K18" s="1" t="str">
        <f t="shared" si="3"/>
        <v>Diagnostic Labs</v>
      </c>
      <c r="L18" s="8">
        <f>Sheet1!N48*1.09</f>
        <v>105.49642857142858</v>
      </c>
      <c r="P18" s="53" t="str">
        <f t="shared" si="1"/>
        <v>Diagnostic Labs</v>
      </c>
      <c r="Q18" s="54" t="str">
        <f t="shared" si="4"/>
        <v>-</v>
      </c>
      <c r="W18" s="1"/>
      <c r="X18" s="1"/>
    </row>
    <row r="19" spans="2:30" x14ac:dyDescent="0.35">
      <c r="B19" s="34" t="s">
        <v>5</v>
      </c>
      <c r="C19" s="33"/>
      <c r="D19" s="28">
        <v>15</v>
      </c>
      <c r="E19" s="29">
        <v>0</v>
      </c>
      <c r="F19" s="30">
        <v>0</v>
      </c>
      <c r="G19" s="29">
        <f t="shared" si="0"/>
        <v>0.2</v>
      </c>
      <c r="H19" s="30">
        <v>30</v>
      </c>
      <c r="I19" s="29">
        <v>0</v>
      </c>
      <c r="K19" s="1" t="str">
        <f t="shared" si="3"/>
        <v>Therapy</v>
      </c>
      <c r="L19" s="8">
        <f>Sheet1!V65*1.09</f>
        <v>78.407682692307716</v>
      </c>
      <c r="P19" s="53" t="str">
        <f t="shared" si="1"/>
        <v>Therapy</v>
      </c>
      <c r="Q19" s="54" t="str">
        <f t="shared" si="4"/>
        <v>-</v>
      </c>
      <c r="W19" s="1"/>
      <c r="X19" s="1"/>
    </row>
    <row r="20" spans="2:30" x14ac:dyDescent="0.35">
      <c r="B20" s="34" t="s">
        <v>14</v>
      </c>
      <c r="C20" s="33"/>
      <c r="D20" s="28">
        <v>300</v>
      </c>
      <c r="E20" s="29">
        <v>0</v>
      </c>
      <c r="F20" s="30">
        <v>0</v>
      </c>
      <c r="G20" s="29">
        <f t="shared" si="0"/>
        <v>0.2</v>
      </c>
      <c r="H20" s="30">
        <v>300</v>
      </c>
      <c r="I20" s="29">
        <v>0</v>
      </c>
      <c r="K20" s="1" t="str">
        <f t="shared" si="3"/>
        <v>Emergency Room</v>
      </c>
      <c r="L20" s="8">
        <f>Sheet1!S8*1.09</f>
        <v>1387.3338333333336</v>
      </c>
      <c r="N20" s="109"/>
      <c r="P20" s="53" t="str">
        <f t="shared" si="1"/>
        <v>Emergency Room</v>
      </c>
      <c r="Q20" s="54" t="str">
        <f t="shared" si="4"/>
        <v>-</v>
      </c>
      <c r="W20" s="1"/>
      <c r="X20" s="1"/>
    </row>
    <row r="21" spans="2:30" x14ac:dyDescent="0.35">
      <c r="B21" s="189" t="s">
        <v>6</v>
      </c>
      <c r="C21" s="33"/>
      <c r="D21" s="28">
        <v>50</v>
      </c>
      <c r="E21" s="29">
        <v>0</v>
      </c>
      <c r="F21" s="30">
        <v>0</v>
      </c>
      <c r="G21" s="29">
        <f t="shared" si="0"/>
        <v>0.2</v>
      </c>
      <c r="H21" s="30">
        <v>50</v>
      </c>
      <c r="I21" s="29">
        <v>0</v>
      </c>
      <c r="K21" s="1" t="str">
        <f t="shared" si="3"/>
        <v>Urgent Care</v>
      </c>
      <c r="L21" s="8">
        <v>175</v>
      </c>
      <c r="P21" s="53" t="str">
        <f t="shared" si="1"/>
        <v>Urgent Care</v>
      </c>
      <c r="Q21" s="54" t="str">
        <f t="shared" si="4"/>
        <v>-</v>
      </c>
      <c r="V21" s="196" t="s">
        <v>317</v>
      </c>
    </row>
    <row r="22" spans="2:30" ht="12.75" customHeight="1" x14ac:dyDescent="0.35">
      <c r="B22" s="34" t="s">
        <v>7</v>
      </c>
      <c r="C22" s="33"/>
      <c r="D22" s="28">
        <v>50</v>
      </c>
      <c r="E22" s="29">
        <v>0</v>
      </c>
      <c r="F22" s="30">
        <v>0</v>
      </c>
      <c r="G22" s="29">
        <f t="shared" si="0"/>
        <v>0.2</v>
      </c>
      <c r="H22" s="30">
        <v>50</v>
      </c>
      <c r="I22" s="29">
        <v>0</v>
      </c>
      <c r="K22" s="1" t="str">
        <f t="shared" si="3"/>
        <v>Specialist</v>
      </c>
      <c r="L22" s="8">
        <v>300</v>
      </c>
      <c r="P22" s="53" t="str">
        <f t="shared" si="1"/>
        <v>Specialist</v>
      </c>
      <c r="Q22" s="54" t="str">
        <f t="shared" si="4"/>
        <v>-</v>
      </c>
    </row>
    <row r="23" spans="2:30" x14ac:dyDescent="0.35">
      <c r="B23" s="34" t="s">
        <v>15</v>
      </c>
      <c r="C23" s="33"/>
      <c r="D23" s="290">
        <v>15</v>
      </c>
      <c r="E23" s="29">
        <v>0</v>
      </c>
      <c r="F23" s="30">
        <v>0</v>
      </c>
      <c r="G23" s="29">
        <f t="shared" si="0"/>
        <v>0.2</v>
      </c>
      <c r="H23" s="30">
        <v>30</v>
      </c>
      <c r="I23" s="29">
        <v>0</v>
      </c>
      <c r="K23" s="1" t="str">
        <f t="shared" si="3"/>
        <v>Primary Care</v>
      </c>
      <c r="L23" s="8">
        <v>140</v>
      </c>
      <c r="P23" s="53" t="str">
        <f t="shared" si="1"/>
        <v>Primary Care</v>
      </c>
      <c r="Q23" s="54" t="str">
        <f t="shared" si="4"/>
        <v>-</v>
      </c>
    </row>
    <row r="24" spans="2:30" x14ac:dyDescent="0.35">
      <c r="B24" s="34" t="s">
        <v>17</v>
      </c>
      <c r="C24" s="33"/>
      <c r="D24" s="290">
        <v>10</v>
      </c>
      <c r="E24" s="29">
        <v>0</v>
      </c>
      <c r="F24" s="30">
        <v>0</v>
      </c>
      <c r="G24" s="29">
        <f t="shared" si="0"/>
        <v>0.2</v>
      </c>
      <c r="H24" s="30">
        <v>15</v>
      </c>
      <c r="I24" s="29">
        <v>0</v>
      </c>
      <c r="K24" s="1" t="str">
        <f t="shared" si="3"/>
        <v>Rx Tier 1</v>
      </c>
      <c r="L24" s="8">
        <v>30</v>
      </c>
      <c r="M24"/>
      <c r="P24" s="53" t="str">
        <f t="shared" si="1"/>
        <v>Rx Tier 1</v>
      </c>
      <c r="Q24" s="54" t="str">
        <f t="shared" si="4"/>
        <v>-</v>
      </c>
      <c r="S24" s="195" t="str">
        <f>'Plan Comparison'!Q8</f>
        <v>Single</v>
      </c>
      <c r="V24" s="225">
        <v>0</v>
      </c>
    </row>
    <row r="25" spans="2:30" x14ac:dyDescent="0.35">
      <c r="B25" s="189" t="s">
        <v>18</v>
      </c>
      <c r="C25" s="33"/>
      <c r="D25" s="28">
        <v>60</v>
      </c>
      <c r="E25" s="29">
        <v>0</v>
      </c>
      <c r="F25" s="30">
        <v>0</v>
      </c>
      <c r="G25" s="29">
        <f t="shared" si="0"/>
        <v>0.2</v>
      </c>
      <c r="H25" s="30">
        <v>60</v>
      </c>
      <c r="I25" s="29">
        <v>0</v>
      </c>
      <c r="K25" s="1" t="str">
        <f t="shared" si="3"/>
        <v>Rx Tier 2</v>
      </c>
      <c r="L25" s="8">
        <v>300</v>
      </c>
      <c r="M25"/>
      <c r="P25" s="53" t="str">
        <f t="shared" si="1"/>
        <v>Rx Tier 2</v>
      </c>
      <c r="Q25" s="54" t="str">
        <f t="shared" si="4"/>
        <v>-</v>
      </c>
    </row>
    <row r="26" spans="2:30" x14ac:dyDescent="0.35">
      <c r="B26" s="192" t="s">
        <v>19</v>
      </c>
      <c r="C26" s="18"/>
      <c r="D26" s="35">
        <v>100</v>
      </c>
      <c r="E26" s="36">
        <v>0</v>
      </c>
      <c r="F26" s="37">
        <v>0</v>
      </c>
      <c r="G26" s="36">
        <f t="shared" si="0"/>
        <v>0.2</v>
      </c>
      <c r="H26" s="37">
        <v>100</v>
      </c>
      <c r="I26" s="36">
        <v>0</v>
      </c>
      <c r="K26" s="1" t="str">
        <f t="shared" si="3"/>
        <v>Rx Tier 3</v>
      </c>
      <c r="L26" s="8">
        <v>275</v>
      </c>
      <c r="M26"/>
      <c r="P26" s="53" t="str">
        <f t="shared" si="1"/>
        <v>Rx Tier 3</v>
      </c>
      <c r="Q26" s="55" t="str">
        <f t="shared" si="4"/>
        <v>-</v>
      </c>
      <c r="S26" s="196" t="str">
        <f>E2</f>
        <v>- - Select One - -</v>
      </c>
    </row>
    <row r="27" spans="2:30" x14ac:dyDescent="0.35">
      <c r="E27" s="1"/>
      <c r="F27" s="8">
        <f>SUM(F16:F26)</f>
        <v>0</v>
      </c>
      <c r="P27" s="33"/>
      <c r="Q27" s="33"/>
    </row>
    <row r="28" spans="2:30" x14ac:dyDescent="0.35">
      <c r="E28" s="1"/>
      <c r="L28"/>
      <c r="M28" s="260"/>
      <c r="N28" s="260"/>
      <c r="O28" s="75"/>
      <c r="P28" s="33"/>
      <c r="Q28" s="33"/>
      <c r="R28" s="52" t="str">
        <f>D8</f>
        <v>Blue HPN</v>
      </c>
      <c r="S28" s="52" t="str">
        <f>H8</f>
        <v>PPO 80/20</v>
      </c>
      <c r="T28" s="52" t="str">
        <f>F8</f>
        <v>HDHP</v>
      </c>
      <c r="X28" s="258" t="s">
        <v>278</v>
      </c>
      <c r="Y28" s="258"/>
      <c r="Z28" s="258"/>
    </row>
    <row r="29" spans="2:30" ht="23" x14ac:dyDescent="0.5">
      <c r="B29" s="153" t="str">
        <f>D8</f>
        <v>Blue HPN</v>
      </c>
      <c r="C29" s="154"/>
      <c r="D29" s="251"/>
      <c r="E29" s="251"/>
      <c r="F29" s="251"/>
      <c r="G29" s="251"/>
      <c r="H29" s="155"/>
      <c r="I29" s="155"/>
      <c r="J29" s="155"/>
      <c r="K29" s="155"/>
      <c r="L29" s="155"/>
      <c r="M29" s="156"/>
      <c r="P29" s="33"/>
      <c r="Q29" s="65" t="s">
        <v>1</v>
      </c>
      <c r="R29" s="110">
        <f>IF(OR($S$26=$V$21,$AB$49=$V$21),$V$24,G48)</f>
        <v>0</v>
      </c>
      <c r="S29" s="110">
        <f>IF(OR($S$26=$V$21,$AB$49=$V$21),$V$24,G143)</f>
        <v>0</v>
      </c>
      <c r="T29" s="110">
        <f>IF(OR($S$26=$V$21,$AB$49=$V$21),$V$24,G96)</f>
        <v>0</v>
      </c>
      <c r="X29" s="180" t="str">
        <f>R28</f>
        <v>Blue HPN</v>
      </c>
      <c r="Y29" s="180" t="str">
        <f>T28</f>
        <v>HDHP</v>
      </c>
      <c r="Z29" s="180" t="str">
        <f>S28</f>
        <v>PPO 80/20</v>
      </c>
    </row>
    <row r="30" spans="2:30" x14ac:dyDescent="0.35">
      <c r="B30" s="157"/>
      <c r="E30" s="1"/>
      <c r="K30" s="1" t="s">
        <v>307</v>
      </c>
      <c r="M30" s="158"/>
      <c r="N30"/>
      <c r="O30"/>
      <c r="Q30" s="65" t="s">
        <v>275</v>
      </c>
      <c r="R30" s="110"/>
      <c r="S30" s="110"/>
      <c r="T30" s="110">
        <f>IF(OR($S$26=$V$21,$AB$49=$V$21),$V$24,'Plan Comparison'!K3)</f>
        <v>0</v>
      </c>
      <c r="V30" s="177"/>
      <c r="W30" s="3" t="s">
        <v>10</v>
      </c>
      <c r="X30" s="181">
        <f>IF($AB$49=$AB$50,Z51,IF($AB$49=$AB$51,Z57,IF($AB$49=$AB$52,Z63,Z69)))</f>
        <v>210</v>
      </c>
      <c r="Y30" s="182">
        <f>IF($AB$49=$AB$50,X51,IF($AB$49=$AB$51,X57,IF($AB$49=$AB$52,X63,X69)))</f>
        <v>256</v>
      </c>
      <c r="Z30" s="182">
        <f>IF($AB$49=$AB$50,Y51,IF($AB$49=$AB$51,Y57,IF($AB$49=$AB$52,Y63,Y69)))</f>
        <v>294</v>
      </c>
      <c r="AB30" s="109"/>
      <c r="AC30" s="109"/>
      <c r="AD30" s="109"/>
    </row>
    <row r="31" spans="2:30" x14ac:dyDescent="0.35">
      <c r="B31" s="159" t="s">
        <v>16</v>
      </c>
      <c r="C31" s="38"/>
      <c r="D31" s="39" t="s">
        <v>21</v>
      </c>
      <c r="E31" s="39" t="s">
        <v>20</v>
      </c>
      <c r="F31" s="39" t="s">
        <v>22</v>
      </c>
      <c r="G31" s="38" t="s">
        <v>23</v>
      </c>
      <c r="H31" s="39" t="s">
        <v>24</v>
      </c>
      <c r="I31" s="152"/>
      <c r="K31" s="1" t="s">
        <v>9</v>
      </c>
      <c r="M31" s="160"/>
      <c r="N31"/>
      <c r="O31"/>
      <c r="Q31" s="65" t="s">
        <v>37</v>
      </c>
      <c r="R31" s="110">
        <f>IF(OR($S$26=$V$21,$AB$49=$V$21),$V$24,G49)</f>
        <v>0</v>
      </c>
      <c r="S31" s="110">
        <f>IF(OR($S$26=$V$21,$AB$49=$V$21),$V$24,G144)</f>
        <v>0</v>
      </c>
      <c r="T31" s="110">
        <f>IF(OR($S$26=$V$21,$AB$49=$V$21),$V$24,G97)</f>
        <v>0</v>
      </c>
      <c r="V31" s="177"/>
      <c r="W31" s="3" t="s">
        <v>273</v>
      </c>
      <c r="X31" s="181">
        <f t="shared" ref="X31:X33" si="5">IF($AB$49=$AB$50,Z52,IF($AB$49=$AB$51,Z58,IF($AB$49=$AB$52,Z64,Z70)))</f>
        <v>515</v>
      </c>
      <c r="Y31" s="182">
        <f t="shared" ref="Y31:Z33" si="6">IF($AB$49=$AB$50,X52,IF($AB$49=$AB$51,X58,IF($AB$49=$AB$52,X64,X70)))</f>
        <v>638</v>
      </c>
      <c r="Z31" s="182">
        <f t="shared" si="6"/>
        <v>720</v>
      </c>
      <c r="AB31" s="109"/>
      <c r="AC31" s="109"/>
      <c r="AD31" s="109"/>
    </row>
    <row r="32" spans="2:30" x14ac:dyDescent="0.35">
      <c r="B32" s="40" t="str">
        <f t="shared" ref="B32:B42" si="7">B16</f>
        <v>Inpatient Hospital</v>
      </c>
      <c r="C32" s="239">
        <f>IF($K$31=$J$5,Y6,X6)</f>
        <v>0</v>
      </c>
      <c r="D32" s="41">
        <f t="shared" ref="D32:D42" si="8">+VLOOKUP($B$32:$B$42,$K$16:$L$26,2,FALSE)*C32</f>
        <v>0</v>
      </c>
      <c r="E32" s="161">
        <f>+VLOOKUP(B32,$B$16:$E$26,3,FALSE)*C32</f>
        <v>0</v>
      </c>
      <c r="F32" s="162">
        <f t="shared" ref="F32:F42" si="9">+VLOOKUP(B32,$B$16:$E$26,4,FALSE)</f>
        <v>0.2</v>
      </c>
      <c r="G32" s="41">
        <f>IF(AND(E32&gt;1,F32&gt;0),D32-E32,IF(AND(E32&gt;1,F32=0),0,IF(AND(E32=0,F32&gt;=0),D32,0)))</f>
        <v>0</v>
      </c>
      <c r="H32" s="41"/>
      <c r="J32" s="109"/>
      <c r="M32" s="160"/>
      <c r="N32"/>
      <c r="O32"/>
      <c r="Q32" s="65"/>
      <c r="R32" s="110"/>
      <c r="S32" s="7"/>
      <c r="T32" s="7"/>
      <c r="V32" s="177"/>
      <c r="W32" s="3" t="s">
        <v>274</v>
      </c>
      <c r="X32" s="181">
        <f t="shared" si="5"/>
        <v>363</v>
      </c>
      <c r="Y32" s="182">
        <f t="shared" si="6"/>
        <v>462</v>
      </c>
      <c r="Z32" s="182">
        <f t="shared" si="6"/>
        <v>529</v>
      </c>
      <c r="AB32" s="109"/>
      <c r="AC32" s="109"/>
      <c r="AD32" s="109"/>
    </row>
    <row r="33" spans="2:30" x14ac:dyDescent="0.35">
      <c r="B33" s="42" t="str">
        <f t="shared" si="7"/>
        <v>Outpatient</v>
      </c>
      <c r="C33" s="239">
        <f t="shared" ref="C33:C42" si="10">IF($K$31=$J$5,Y7,X7)</f>
        <v>0</v>
      </c>
      <c r="D33" s="41">
        <f t="shared" si="8"/>
        <v>0</v>
      </c>
      <c r="E33" s="161">
        <f t="shared" ref="E33:E42" si="11">+VLOOKUP(B33,$B$16:$E$26,3,FALSE)*C33</f>
        <v>0</v>
      </c>
      <c r="F33" s="162">
        <f t="shared" si="9"/>
        <v>0.2</v>
      </c>
      <c r="G33" s="41">
        <f t="shared" ref="G33:G42" si="12">IF(AND(E33&gt;1,F33&gt;0),D33-E33,IF(AND(E33&gt;1,F33=0),0,IF(AND(E33=0,F33&gt;=0),D33,0)))</f>
        <v>0</v>
      </c>
      <c r="H33" s="41"/>
      <c r="K33" s="8"/>
      <c r="L33" s="109"/>
      <c r="M33" s="160"/>
      <c r="N33"/>
      <c r="O33"/>
      <c r="Q33" s="65" t="s">
        <v>38</v>
      </c>
      <c r="R33" s="110">
        <f>IF(OR($S$26=$V$21,$AB$49=$V$21),$V$24,VLOOKUP($S$26,$W$36:$Z$39,2,FALSE))</f>
        <v>0</v>
      </c>
      <c r="S33" s="110">
        <f>IF(OR($S$26=$V$21,$AB$49=$V$21),$V$24,VLOOKUP($S$26,$W$36:$Z$39,4,FALSE))</f>
        <v>0</v>
      </c>
      <c r="T33" s="110">
        <f>IF(OR($S$26=$V$21,$AB$49=$V$21),$V$24,VLOOKUP($S$26,$W$36:$Z$39,3,FALSE))</f>
        <v>0</v>
      </c>
      <c r="V33" s="177"/>
      <c r="W33" s="3" t="s">
        <v>11</v>
      </c>
      <c r="X33" s="181">
        <f t="shared" si="5"/>
        <v>668</v>
      </c>
      <c r="Y33" s="182">
        <f t="shared" si="6"/>
        <v>844</v>
      </c>
      <c r="Z33" s="182">
        <f t="shared" si="6"/>
        <v>956</v>
      </c>
      <c r="AB33" s="109">
        <f>SUM(Y30:Z33)</f>
        <v>4699</v>
      </c>
      <c r="AC33" s="109" t="e">
        <f>VLOOKUP(AB49,$AB$50:$AC$53,2,FALSE)</f>
        <v>#N/A</v>
      </c>
      <c r="AD33" s="109"/>
    </row>
    <row r="34" spans="2:30" x14ac:dyDescent="0.35">
      <c r="B34" s="42" t="str">
        <f t="shared" si="7"/>
        <v>Diagnostic Labs</v>
      </c>
      <c r="C34" s="239">
        <f t="shared" si="10"/>
        <v>0</v>
      </c>
      <c r="D34" s="41">
        <f t="shared" si="8"/>
        <v>0</v>
      </c>
      <c r="E34" s="161">
        <f t="shared" si="11"/>
        <v>0</v>
      </c>
      <c r="F34" s="162">
        <f t="shared" si="9"/>
        <v>0.2</v>
      </c>
      <c r="G34" s="41">
        <f t="shared" si="12"/>
        <v>0</v>
      </c>
      <c r="H34" s="41"/>
      <c r="M34" s="160"/>
      <c r="N34"/>
      <c r="O34"/>
      <c r="Q34" s="65" t="str">
        <f>D73</f>
        <v>Total</v>
      </c>
      <c r="R34" s="110">
        <f>R29+R31+R33</f>
        <v>0</v>
      </c>
      <c r="S34" s="110">
        <f>S29+S31+S33</f>
        <v>0</v>
      </c>
      <c r="T34" s="110">
        <f>T29+T31+T33</f>
        <v>0</v>
      </c>
      <c r="X34" s="259" t="s">
        <v>282</v>
      </c>
      <c r="Y34" s="259"/>
      <c r="Z34" s="259"/>
      <c r="AC34" s="1" t="e">
        <f>AB33=AC33</f>
        <v>#N/A</v>
      </c>
    </row>
    <row r="35" spans="2:30" x14ac:dyDescent="0.35">
      <c r="B35" s="43" t="str">
        <f t="shared" si="7"/>
        <v>Therapy</v>
      </c>
      <c r="C35" s="239">
        <f t="shared" si="10"/>
        <v>0</v>
      </c>
      <c r="D35" s="41">
        <f t="shared" si="8"/>
        <v>0</v>
      </c>
      <c r="E35" s="161">
        <f t="shared" si="11"/>
        <v>0</v>
      </c>
      <c r="F35" s="162">
        <f t="shared" si="9"/>
        <v>0</v>
      </c>
      <c r="G35" s="41">
        <f t="shared" si="12"/>
        <v>0</v>
      </c>
      <c r="H35" s="41"/>
      <c r="J35" s="1" t="s">
        <v>334</v>
      </c>
      <c r="M35" s="160"/>
      <c r="R35" s="41">
        <f>R34-R30</f>
        <v>0</v>
      </c>
      <c r="S35" s="41">
        <f>S34-S30</f>
        <v>0</v>
      </c>
      <c r="T35" s="41">
        <f>T34-T30</f>
        <v>0</v>
      </c>
      <c r="X35" s="180" t="str">
        <f>X29</f>
        <v>Blue HPN</v>
      </c>
      <c r="Y35" s="180" t="str">
        <f>Y29</f>
        <v>HDHP</v>
      </c>
      <c r="Z35" s="180" t="str">
        <f>Z29</f>
        <v>PPO 80/20</v>
      </c>
    </row>
    <row r="36" spans="2:30" x14ac:dyDescent="0.35">
      <c r="B36" s="43" t="str">
        <f t="shared" si="7"/>
        <v>Emergency Room</v>
      </c>
      <c r="C36" s="239">
        <f t="shared" si="10"/>
        <v>0</v>
      </c>
      <c r="D36" s="41">
        <f t="shared" si="8"/>
        <v>0</v>
      </c>
      <c r="E36" s="161">
        <f t="shared" si="11"/>
        <v>0</v>
      </c>
      <c r="F36" s="162">
        <f t="shared" si="9"/>
        <v>0</v>
      </c>
      <c r="G36" s="41">
        <f t="shared" si="12"/>
        <v>0</v>
      </c>
      <c r="H36" s="41"/>
      <c r="M36" s="160"/>
      <c r="V36" s="177"/>
      <c r="W36" s="3" t="s">
        <v>10</v>
      </c>
      <c r="X36" s="181">
        <f>X30*12</f>
        <v>2520</v>
      </c>
      <c r="Y36" s="181">
        <f>Y30*12</f>
        <v>3072</v>
      </c>
      <c r="Z36" s="181">
        <f>Z30*12</f>
        <v>3528</v>
      </c>
    </row>
    <row r="37" spans="2:30" x14ac:dyDescent="0.35">
      <c r="B37" s="190" t="str">
        <f t="shared" si="7"/>
        <v>Urgent Care</v>
      </c>
      <c r="C37" s="239">
        <f t="shared" si="10"/>
        <v>0</v>
      </c>
      <c r="D37" s="41">
        <f t="shared" si="8"/>
        <v>0</v>
      </c>
      <c r="E37" s="161">
        <f t="shared" si="11"/>
        <v>0</v>
      </c>
      <c r="F37" s="162">
        <f t="shared" si="9"/>
        <v>0</v>
      </c>
      <c r="G37" s="41">
        <f t="shared" si="12"/>
        <v>0</v>
      </c>
      <c r="H37" s="41"/>
      <c r="M37" s="160"/>
      <c r="V37" s="177"/>
      <c r="W37" s="3" t="s">
        <v>273</v>
      </c>
      <c r="X37" s="181">
        <f t="shared" ref="X37" si="13">X31*12</f>
        <v>6180</v>
      </c>
      <c r="Y37" s="181">
        <f t="shared" ref="Y37:Z39" si="14">Y31*12</f>
        <v>7656</v>
      </c>
      <c r="Z37" s="181">
        <f t="shared" si="14"/>
        <v>8640</v>
      </c>
    </row>
    <row r="38" spans="2:30" x14ac:dyDescent="0.35">
      <c r="B38" s="43" t="str">
        <f t="shared" si="7"/>
        <v>Specialist</v>
      </c>
      <c r="C38" s="239">
        <f t="shared" si="10"/>
        <v>0</v>
      </c>
      <c r="D38" s="41">
        <f t="shared" si="8"/>
        <v>0</v>
      </c>
      <c r="E38" s="161">
        <f t="shared" si="11"/>
        <v>0</v>
      </c>
      <c r="F38" s="162">
        <f t="shared" si="9"/>
        <v>0</v>
      </c>
      <c r="G38" s="41">
        <f t="shared" si="12"/>
        <v>0</v>
      </c>
      <c r="H38" s="41"/>
      <c r="M38" s="160"/>
      <c r="V38" s="177"/>
      <c r="W38" s="3" t="s">
        <v>274</v>
      </c>
      <c r="X38" s="181">
        <f t="shared" ref="X38" si="15">X32*12</f>
        <v>4356</v>
      </c>
      <c r="Y38" s="181">
        <f t="shared" si="14"/>
        <v>5544</v>
      </c>
      <c r="Z38" s="181">
        <f t="shared" si="14"/>
        <v>6348</v>
      </c>
    </row>
    <row r="39" spans="2:30" x14ac:dyDescent="0.35">
      <c r="B39" s="43" t="str">
        <f t="shared" si="7"/>
        <v>Primary Care</v>
      </c>
      <c r="C39" s="239">
        <f t="shared" si="10"/>
        <v>0</v>
      </c>
      <c r="D39" s="41">
        <f t="shared" si="8"/>
        <v>0</v>
      </c>
      <c r="E39" s="161">
        <f t="shared" si="11"/>
        <v>0</v>
      </c>
      <c r="F39" s="162">
        <f t="shared" si="9"/>
        <v>0</v>
      </c>
      <c r="G39" s="41">
        <f t="shared" si="12"/>
        <v>0</v>
      </c>
      <c r="H39" s="41"/>
      <c r="M39" s="160"/>
      <c r="V39" s="177"/>
      <c r="W39" s="3" t="s">
        <v>11</v>
      </c>
      <c r="X39" s="181">
        <f t="shared" ref="X39" si="16">X33*12</f>
        <v>8016</v>
      </c>
      <c r="Y39" s="181">
        <f t="shared" si="14"/>
        <v>10128</v>
      </c>
      <c r="Z39" s="181">
        <f t="shared" si="14"/>
        <v>11472</v>
      </c>
    </row>
    <row r="40" spans="2:30" x14ac:dyDescent="0.35">
      <c r="B40" s="43" t="str">
        <f t="shared" si="7"/>
        <v>Rx Tier 1</v>
      </c>
      <c r="C40" s="239">
        <f t="shared" si="10"/>
        <v>0</v>
      </c>
      <c r="D40" s="41">
        <f t="shared" si="8"/>
        <v>0</v>
      </c>
      <c r="E40" s="161">
        <f>+VLOOKUP(B40,$B$16:$E$26,3,FALSE)*C40</f>
        <v>0</v>
      </c>
      <c r="F40" s="162">
        <f t="shared" si="9"/>
        <v>0</v>
      </c>
      <c r="G40" s="41">
        <f t="shared" si="12"/>
        <v>0</v>
      </c>
      <c r="H40" s="41"/>
      <c r="M40" s="160"/>
      <c r="Q40" s="3"/>
    </row>
    <row r="41" spans="2:30" x14ac:dyDescent="0.35">
      <c r="B41" s="43" t="str">
        <f t="shared" si="7"/>
        <v>Rx Tier 2</v>
      </c>
      <c r="C41" s="239">
        <f t="shared" si="10"/>
        <v>0</v>
      </c>
      <c r="D41" s="41">
        <f t="shared" si="8"/>
        <v>0</v>
      </c>
      <c r="E41" s="161">
        <f t="shared" si="11"/>
        <v>0</v>
      </c>
      <c r="F41" s="162">
        <f t="shared" si="9"/>
        <v>0</v>
      </c>
      <c r="G41" s="41">
        <f t="shared" si="12"/>
        <v>0</v>
      </c>
      <c r="H41" s="41"/>
      <c r="M41" s="160"/>
    </row>
    <row r="42" spans="2:30" x14ac:dyDescent="0.35">
      <c r="B42" s="44" t="str">
        <f t="shared" si="7"/>
        <v>Rx Tier 3</v>
      </c>
      <c r="C42" s="240">
        <f t="shared" si="10"/>
        <v>0</v>
      </c>
      <c r="D42" s="45">
        <f t="shared" si="8"/>
        <v>0</v>
      </c>
      <c r="E42" s="46">
        <f t="shared" si="11"/>
        <v>0</v>
      </c>
      <c r="F42" s="47">
        <f t="shared" si="9"/>
        <v>0</v>
      </c>
      <c r="G42" s="45">
        <f t="shared" si="12"/>
        <v>0</v>
      </c>
      <c r="H42" s="41"/>
      <c r="M42" s="160"/>
    </row>
    <row r="43" spans="2:30" x14ac:dyDescent="0.35">
      <c r="B43" s="163"/>
      <c r="C43" s="52"/>
      <c r="D43" s="164" t="s">
        <v>25</v>
      </c>
      <c r="E43" s="161">
        <f>+IF($E$6=$K$6,SUM(E32:E39),SUM(E32:E42))</f>
        <v>0</v>
      </c>
      <c r="F43" s="162">
        <f>Trad_Coinsurance</f>
        <v>0.2</v>
      </c>
      <c r="G43" s="243">
        <f>SUM(G32:G42)</f>
        <v>0</v>
      </c>
      <c r="H43" s="243">
        <f>IF((SUM($G$32:$G$42)-(IF($E$2=$S$24,$D$10,$D$11)))&gt;0,F43*(SUM($G$32:$G$42)-(IF($E$2=$S$24,$D$10,$D$11))),0)</f>
        <v>0</v>
      </c>
      <c r="I43" s="161"/>
      <c r="M43" s="160"/>
      <c r="Q43" s="3"/>
    </row>
    <row r="44" spans="2:30" x14ac:dyDescent="0.35">
      <c r="B44" s="157"/>
      <c r="D44" s="56" t="s">
        <v>40</v>
      </c>
      <c r="E44" s="161"/>
      <c r="M44" s="160"/>
    </row>
    <row r="45" spans="2:30" x14ac:dyDescent="0.35">
      <c r="B45" s="157"/>
      <c r="E45" s="1"/>
      <c r="M45" s="160"/>
      <c r="Q45" s="1" t="str">
        <f>+IF('Plan Comparison'!K3&gt;0,"
(Total HDHP annual spend less employer H.S.A. dollars = "&amp;TEXT('Analyst Use Only'!T34-'Analyst Use Only'!T30,"$#,##0)"),"")</f>
        <v xml:space="preserve">
(Total HDHP annual spend less employer H.S.A. dollars = $0)</v>
      </c>
    </row>
    <row r="46" spans="2:30" x14ac:dyDescent="0.35">
      <c r="B46" s="157"/>
      <c r="E46" s="1" t="str">
        <f>B31</f>
        <v>Sub</v>
      </c>
      <c r="M46" s="160"/>
    </row>
    <row r="47" spans="2:30" x14ac:dyDescent="0.35">
      <c r="B47" s="165" t="s">
        <v>26</v>
      </c>
      <c r="C47" s="241">
        <f>IF($E$2=$S$24,IF(G43&gt;L47,L47,G43),IF(G43&gt;M47,M47,G43))</f>
        <v>0</v>
      </c>
      <c r="D47" s="56" t="s">
        <v>26</v>
      </c>
      <c r="E47" s="8">
        <f>C47</f>
        <v>0</v>
      </c>
      <c r="G47" s="166" t="s">
        <v>33</v>
      </c>
      <c r="K47" s="1" t="s">
        <v>23</v>
      </c>
      <c r="L47" s="41">
        <f>D10</f>
        <v>1150</v>
      </c>
      <c r="M47" s="41">
        <f>D11</f>
        <v>2300</v>
      </c>
      <c r="Q47" s="108" t="str">
        <f>+"Based on HORAN's cost assumptions and your expected utilization, the "&amp;S54&amp;" has the lowest projected total cost. "&amp;IF(S54=S51,Q58,Q57)</f>
        <v>Based on HORAN's cost assumptions and your expected utilization, the Blue HPN has the lowest projected total cost. You should consider participating in the Healthcare FSA to assist with your out-of-pocket costs.</v>
      </c>
    </row>
    <row r="48" spans="2:30" x14ac:dyDescent="0.35">
      <c r="B48" s="165" t="s">
        <v>22</v>
      </c>
      <c r="C48" s="8">
        <f>H43</f>
        <v>0</v>
      </c>
      <c r="D48" s="56" t="s">
        <v>27</v>
      </c>
      <c r="E48" s="241">
        <f>IF($E$2=$S$24,IF($C50&gt;$L49,$L49,$C50),IF($C50&gt;$M49,$M49,$C50))</f>
        <v>0</v>
      </c>
      <c r="G48" s="167">
        <f>IF($E$2=$S$24,E47,E47+E70)</f>
        <v>0</v>
      </c>
      <c r="K48" s="1" t="s">
        <v>277</v>
      </c>
      <c r="L48" s="41">
        <f>D13</f>
        <v>4600</v>
      </c>
      <c r="M48" s="41">
        <f>D14</f>
        <v>9200</v>
      </c>
    </row>
    <row r="49" spans="2:31" x14ac:dyDescent="0.35">
      <c r="B49" s="168" t="str">
        <f>D43</f>
        <v>copays that count towards plan OOP max</v>
      </c>
      <c r="C49" s="6">
        <f>E43</f>
        <v>0</v>
      </c>
      <c r="D49" s="49"/>
      <c r="E49" s="6"/>
      <c r="G49" s="167">
        <f>IF($E$2=$S$24,E48,E48+E71)</f>
        <v>0</v>
      </c>
      <c r="L49" s="41">
        <f>L48-L47</f>
        <v>3450</v>
      </c>
      <c r="M49" s="41">
        <f>M48-M47</f>
        <v>6900</v>
      </c>
      <c r="V49" s="166"/>
      <c r="W49" s="250" t="s">
        <v>290</v>
      </c>
      <c r="X49" s="250"/>
      <c r="Y49" s="250"/>
      <c r="Z49" s="250"/>
      <c r="AB49" s="221" t="str">
        <f>'Plan Comparison'!E4</f>
        <v>- - Select One - -</v>
      </c>
      <c r="AC49"/>
      <c r="AD49"/>
      <c r="AE49"/>
    </row>
    <row r="50" spans="2:31" x14ac:dyDescent="0.35">
      <c r="B50" s="165" t="s">
        <v>29</v>
      </c>
      <c r="C50" s="8">
        <f>C49+C48</f>
        <v>0</v>
      </c>
      <c r="D50" s="56" t="s">
        <v>28</v>
      </c>
      <c r="E50" s="8">
        <f>SUM(E47:E48)</f>
        <v>0</v>
      </c>
      <c r="G50" s="50"/>
      <c r="M50" s="160"/>
      <c r="Q50" s="8"/>
      <c r="R50" s="41">
        <f>R35</f>
        <v>0</v>
      </c>
      <c r="S50" s="52" t="str">
        <f>R28</f>
        <v>Blue HPN</v>
      </c>
      <c r="V50" s="166"/>
      <c r="W50" s="218" t="s">
        <v>336</v>
      </c>
      <c r="X50" s="180" t="s">
        <v>289</v>
      </c>
      <c r="Y50" s="180" t="s">
        <v>288</v>
      </c>
      <c r="Z50" s="52" t="s">
        <v>325</v>
      </c>
      <c r="AB50" t="str">
        <f>'Plan Comparison'!T14</f>
        <v>&lt; $54,600</v>
      </c>
      <c r="AC50" s="57">
        <f>SUM(X51:Y54)</f>
        <v>2248</v>
      </c>
      <c r="AD50"/>
      <c r="AE50"/>
    </row>
    <row r="51" spans="2:31" x14ac:dyDescent="0.35">
      <c r="B51" s="165"/>
      <c r="C51" s="8"/>
      <c r="E51" s="1"/>
      <c r="G51" s="167">
        <f>SUM(G48:G50)</f>
        <v>0</v>
      </c>
      <c r="M51" s="160"/>
      <c r="R51" s="41">
        <f>T35</f>
        <v>0</v>
      </c>
      <c r="S51" s="52" t="str">
        <f>T28</f>
        <v>HDHP</v>
      </c>
      <c r="V51" s="166"/>
      <c r="W51" s="3" t="s">
        <v>10</v>
      </c>
      <c r="X51" s="244">
        <v>124</v>
      </c>
      <c r="Y51" s="244">
        <v>141</v>
      </c>
      <c r="Z51" s="244">
        <v>109</v>
      </c>
      <c r="AB51" t="str">
        <f>'Plan Comparison'!T15</f>
        <v>$54,600 - $86,600</v>
      </c>
      <c r="AC51" s="57">
        <f>SUM(X57:Y60)</f>
        <v>3358</v>
      </c>
      <c r="AD51"/>
      <c r="AE51"/>
    </row>
    <row r="52" spans="2:31" x14ac:dyDescent="0.35">
      <c r="B52" s="157"/>
      <c r="E52" s="1"/>
      <c r="M52" s="160"/>
      <c r="R52" s="41">
        <f>S35</f>
        <v>0</v>
      </c>
      <c r="S52" s="52" t="str">
        <f>S28</f>
        <v>PPO 80/20</v>
      </c>
      <c r="V52" s="166"/>
      <c r="W52" s="235" t="s">
        <v>273</v>
      </c>
      <c r="X52" s="245">
        <v>305</v>
      </c>
      <c r="Y52" s="245">
        <v>342</v>
      </c>
      <c r="Z52" s="245">
        <v>252</v>
      </c>
      <c r="AB52" t="str">
        <f>'Plan Comparison'!T16</f>
        <v>$86,600 - $144,200</v>
      </c>
      <c r="AC52" s="57">
        <f>SUM(X63:Y66)</f>
        <v>4473</v>
      </c>
      <c r="AD52"/>
      <c r="AE52"/>
    </row>
    <row r="53" spans="2:31" x14ac:dyDescent="0.35">
      <c r="B53" s="157"/>
      <c r="E53" s="1"/>
      <c r="M53" s="160"/>
      <c r="R53" s="52"/>
      <c r="S53" s="52"/>
      <c r="V53" s="166"/>
      <c r="W53" s="235" t="s">
        <v>274</v>
      </c>
      <c r="X53" s="245">
        <v>223</v>
      </c>
      <c r="Y53" s="245">
        <v>254</v>
      </c>
      <c r="Z53" s="245">
        <v>183</v>
      </c>
      <c r="AB53" t="str">
        <f>'Plan Comparison'!T17</f>
        <v>&gt; $144,200</v>
      </c>
      <c r="AC53" s="57">
        <f>SUM(X69:Y72)</f>
        <v>4699</v>
      </c>
      <c r="AD53"/>
      <c r="AE53"/>
    </row>
    <row r="54" spans="2:31" x14ac:dyDescent="0.35">
      <c r="B54" s="159" t="s">
        <v>34</v>
      </c>
      <c r="C54" s="38"/>
      <c r="D54" s="39" t="s">
        <v>21</v>
      </c>
      <c r="E54" s="39" t="s">
        <v>20</v>
      </c>
      <c r="F54" s="39" t="s">
        <v>22</v>
      </c>
      <c r="G54" s="38" t="s">
        <v>23</v>
      </c>
      <c r="H54" s="39" t="s">
        <v>24</v>
      </c>
      <c r="I54" s="152"/>
      <c r="M54" s="160"/>
      <c r="R54" s="246">
        <f>MIN(R50:R52)</f>
        <v>0</v>
      </c>
      <c r="S54" s="247" t="str">
        <f>VLOOKUP(R54,$R$50:$S$52,2,FALSE)</f>
        <v>Blue HPN</v>
      </c>
      <c r="V54" s="166"/>
      <c r="W54" s="3" t="s">
        <v>11</v>
      </c>
      <c r="X54" s="244">
        <v>403</v>
      </c>
      <c r="Y54" s="244">
        <v>456</v>
      </c>
      <c r="Z54" s="244">
        <v>328</v>
      </c>
      <c r="AB54"/>
      <c r="AC54"/>
      <c r="AD54"/>
      <c r="AE54"/>
    </row>
    <row r="55" spans="2:31" x14ac:dyDescent="0.35">
      <c r="B55" s="40" t="str">
        <f t="shared" ref="B55:B65" si="17">B32</f>
        <v>Inpatient Hospital</v>
      </c>
      <c r="C55" s="242">
        <f>IF($K$31=$J$5,Z6,0)</f>
        <v>0</v>
      </c>
      <c r="D55" s="41">
        <f>+VLOOKUP($B$55:$B$65,$K$16:$L$26,2,FALSE)*C55</f>
        <v>0</v>
      </c>
      <c r="E55" s="161">
        <f>+VLOOKUP(B55,$B$16:$E$26,3,FALSE)*C55</f>
        <v>0</v>
      </c>
      <c r="F55" s="162">
        <f t="shared" ref="F55:F65" si="18">+VLOOKUP(B55,$B$16:$E$26,4,FALSE)</f>
        <v>0.2</v>
      </c>
      <c r="G55" s="41">
        <f>IF(AND(E55&gt;1,F55&gt;0),D55-E55,IF(AND(E55&gt;1,F55=0),0,IF(AND(E55=0,F55&gt;=0),D55,0)))</f>
        <v>0</v>
      </c>
      <c r="M55" s="160"/>
      <c r="V55" s="166"/>
      <c r="X55" s="1"/>
      <c r="AB55"/>
      <c r="AC55"/>
      <c r="AD55"/>
      <c r="AE55"/>
    </row>
    <row r="56" spans="2:31" x14ac:dyDescent="0.35">
      <c r="B56" s="42" t="str">
        <f t="shared" si="17"/>
        <v>Outpatient</v>
      </c>
      <c r="C56" s="239">
        <f t="shared" ref="C56:C65" si="19">IF($K$31=$J$5,Z7,0)</f>
        <v>0</v>
      </c>
      <c r="D56" s="41">
        <f t="shared" ref="D56:D65" si="20">+VLOOKUP($B$55:$B$65,$K$16:$L$26,2,FALSE)*C56</f>
        <v>0</v>
      </c>
      <c r="E56" s="161">
        <f t="shared" ref="E56:E65" si="21">+VLOOKUP(B56,$B$16:$E$26,3,FALSE)*C56</f>
        <v>0</v>
      </c>
      <c r="F56" s="162">
        <f t="shared" si="18"/>
        <v>0.2</v>
      </c>
      <c r="G56" s="41">
        <f t="shared" ref="G56:G65" si="22">IF(AND(E56&gt;1,F56&gt;0),D56-E56,IF(AND(E56&gt;1,F56=0),0,IF(AND(E56=0,F56&gt;=0),D56,0)))</f>
        <v>0</v>
      </c>
      <c r="M56" s="160"/>
      <c r="V56" s="166"/>
      <c r="W56" s="218" t="s">
        <v>338</v>
      </c>
      <c r="X56" s="180" t="s">
        <v>289</v>
      </c>
      <c r="Y56" s="180" t="s">
        <v>288</v>
      </c>
      <c r="AB56" s="230"/>
      <c r="AC56" s="230"/>
      <c r="AD56" s="230"/>
      <c r="AE56"/>
    </row>
    <row r="57" spans="2:31" x14ac:dyDescent="0.35">
      <c r="B57" s="42" t="str">
        <f t="shared" si="17"/>
        <v>Diagnostic Labs</v>
      </c>
      <c r="C57" s="239">
        <f t="shared" si="19"/>
        <v>0</v>
      </c>
      <c r="D57" s="41">
        <f t="shared" si="20"/>
        <v>0</v>
      </c>
      <c r="E57" s="161">
        <f t="shared" si="21"/>
        <v>0</v>
      </c>
      <c r="F57" s="162">
        <f t="shared" si="18"/>
        <v>0.2</v>
      </c>
      <c r="G57" s="41">
        <f t="shared" si="22"/>
        <v>0</v>
      </c>
      <c r="M57" s="160"/>
      <c r="Q57" s="1" t="s">
        <v>322</v>
      </c>
      <c r="V57" s="166"/>
      <c r="W57" s="3" t="s">
        <v>10</v>
      </c>
      <c r="X57" s="244">
        <v>183</v>
      </c>
      <c r="Y57" s="244">
        <v>210</v>
      </c>
      <c r="Z57" s="244">
        <v>153</v>
      </c>
      <c r="AB57" s="230"/>
      <c r="AC57" s="230"/>
      <c r="AD57" s="230"/>
      <c r="AE57"/>
    </row>
    <row r="58" spans="2:31" x14ac:dyDescent="0.35">
      <c r="B58" s="43" t="str">
        <f t="shared" si="17"/>
        <v>Therapy</v>
      </c>
      <c r="C58" s="239">
        <f t="shared" si="19"/>
        <v>0</v>
      </c>
      <c r="D58" s="41">
        <f t="shared" si="20"/>
        <v>0</v>
      </c>
      <c r="E58" s="161">
        <f t="shared" si="21"/>
        <v>0</v>
      </c>
      <c r="F58" s="162">
        <f t="shared" si="18"/>
        <v>0</v>
      </c>
      <c r="G58" s="41">
        <f t="shared" si="22"/>
        <v>0</v>
      </c>
      <c r="M58" s="160"/>
      <c r="Q58" s="1" t="s">
        <v>321</v>
      </c>
      <c r="V58" s="166"/>
      <c r="W58" s="235" t="s">
        <v>273</v>
      </c>
      <c r="X58" s="245">
        <v>456</v>
      </c>
      <c r="Y58" s="245">
        <v>515</v>
      </c>
      <c r="Z58" s="245">
        <v>372</v>
      </c>
      <c r="AB58" s="230"/>
      <c r="AC58" s="230"/>
      <c r="AD58" s="230"/>
      <c r="AE58"/>
    </row>
    <row r="59" spans="2:31" x14ac:dyDescent="0.35">
      <c r="B59" s="43" t="str">
        <f t="shared" si="17"/>
        <v>Emergency Room</v>
      </c>
      <c r="C59" s="239">
        <f t="shared" si="19"/>
        <v>0</v>
      </c>
      <c r="D59" s="41">
        <f t="shared" si="20"/>
        <v>0</v>
      </c>
      <c r="E59" s="161">
        <f t="shared" si="21"/>
        <v>0</v>
      </c>
      <c r="F59" s="162">
        <f t="shared" si="18"/>
        <v>0</v>
      </c>
      <c r="G59" s="41">
        <f t="shared" si="22"/>
        <v>0</v>
      </c>
      <c r="M59" s="160"/>
      <c r="V59" s="166"/>
      <c r="W59" s="235" t="s">
        <v>274</v>
      </c>
      <c r="X59" s="245">
        <v>330</v>
      </c>
      <c r="Y59" s="245">
        <v>378</v>
      </c>
      <c r="Z59" s="245">
        <v>265</v>
      </c>
      <c r="AB59" s="230"/>
      <c r="AC59" s="230"/>
      <c r="AD59" s="230"/>
      <c r="AE59"/>
    </row>
    <row r="60" spans="2:31" x14ac:dyDescent="0.35">
      <c r="B60" s="190" t="str">
        <f t="shared" si="17"/>
        <v>Urgent Care</v>
      </c>
      <c r="C60" s="239">
        <f t="shared" si="19"/>
        <v>0</v>
      </c>
      <c r="D60" s="41">
        <f t="shared" si="20"/>
        <v>0</v>
      </c>
      <c r="E60" s="161">
        <f t="shared" si="21"/>
        <v>0</v>
      </c>
      <c r="F60" s="162">
        <f t="shared" si="18"/>
        <v>0</v>
      </c>
      <c r="G60" s="41">
        <f t="shared" si="22"/>
        <v>0</v>
      </c>
      <c r="M60" s="160"/>
      <c r="V60" s="166"/>
      <c r="W60" s="3" t="s">
        <v>11</v>
      </c>
      <c r="X60" s="244">
        <v>603</v>
      </c>
      <c r="Y60" s="244">
        <v>683</v>
      </c>
      <c r="Z60" s="244">
        <v>483</v>
      </c>
      <c r="AB60" s="230"/>
      <c r="AC60" s="230"/>
      <c r="AD60" s="230"/>
      <c r="AE60"/>
    </row>
    <row r="61" spans="2:31" x14ac:dyDescent="0.35">
      <c r="B61" s="43" t="str">
        <f t="shared" si="17"/>
        <v>Specialist</v>
      </c>
      <c r="C61" s="239">
        <f t="shared" si="19"/>
        <v>0</v>
      </c>
      <c r="D61" s="41">
        <f t="shared" si="20"/>
        <v>0</v>
      </c>
      <c r="E61" s="161">
        <f t="shared" si="21"/>
        <v>0</v>
      </c>
      <c r="F61" s="162">
        <f t="shared" si="18"/>
        <v>0</v>
      </c>
      <c r="G61" s="41">
        <f t="shared" si="22"/>
        <v>0</v>
      </c>
      <c r="M61" s="160"/>
      <c r="V61" s="166"/>
      <c r="W61" s="1"/>
      <c r="X61" s="1"/>
      <c r="AB61" s="230"/>
      <c r="AC61" s="230"/>
      <c r="AD61" s="230"/>
      <c r="AE61"/>
    </row>
    <row r="62" spans="2:31" x14ac:dyDescent="0.35">
      <c r="B62" s="43" t="str">
        <f t="shared" si="17"/>
        <v>Primary Care</v>
      </c>
      <c r="C62" s="239">
        <f t="shared" si="19"/>
        <v>0</v>
      </c>
      <c r="D62" s="41">
        <f t="shared" si="20"/>
        <v>0</v>
      </c>
      <c r="E62" s="161">
        <f t="shared" si="21"/>
        <v>0</v>
      </c>
      <c r="F62" s="162">
        <f t="shared" si="18"/>
        <v>0</v>
      </c>
      <c r="G62" s="41">
        <f t="shared" si="22"/>
        <v>0</v>
      </c>
      <c r="M62" s="160"/>
      <c r="V62" s="166"/>
      <c r="W62" s="218" t="s">
        <v>337</v>
      </c>
      <c r="X62" s="180" t="s">
        <v>289</v>
      </c>
      <c r="Y62" s="180" t="s">
        <v>288</v>
      </c>
      <c r="AB62" s="230"/>
      <c r="AC62" s="230"/>
      <c r="AD62" s="230"/>
      <c r="AE62"/>
    </row>
    <row r="63" spans="2:31" x14ac:dyDescent="0.35">
      <c r="B63" s="43" t="str">
        <f t="shared" si="17"/>
        <v>Rx Tier 1</v>
      </c>
      <c r="C63" s="239">
        <f t="shared" si="19"/>
        <v>0</v>
      </c>
      <c r="D63" s="41">
        <f t="shared" si="20"/>
        <v>0</v>
      </c>
      <c r="E63" s="161">
        <f t="shared" si="21"/>
        <v>0</v>
      </c>
      <c r="F63" s="162">
        <f t="shared" si="18"/>
        <v>0</v>
      </c>
      <c r="G63" s="41">
        <f t="shared" si="22"/>
        <v>0</v>
      </c>
      <c r="M63" s="160"/>
      <c r="V63" s="166"/>
      <c r="W63" s="3" t="s">
        <v>10</v>
      </c>
      <c r="X63" s="244">
        <v>244</v>
      </c>
      <c r="Y63" s="244">
        <v>279</v>
      </c>
      <c r="Z63" s="244">
        <v>200</v>
      </c>
      <c r="AB63" s="230"/>
      <c r="AC63" s="230"/>
      <c r="AD63" s="230"/>
      <c r="AE63"/>
    </row>
    <row r="64" spans="2:31" x14ac:dyDescent="0.35">
      <c r="B64" s="43" t="str">
        <f t="shared" si="17"/>
        <v>Rx Tier 2</v>
      </c>
      <c r="C64" s="239">
        <f t="shared" si="19"/>
        <v>0</v>
      </c>
      <c r="D64" s="41">
        <f t="shared" si="20"/>
        <v>0</v>
      </c>
      <c r="E64" s="161">
        <f t="shared" si="21"/>
        <v>0</v>
      </c>
      <c r="F64" s="162">
        <f t="shared" si="18"/>
        <v>0</v>
      </c>
      <c r="G64" s="41">
        <f t="shared" si="22"/>
        <v>0</v>
      </c>
      <c r="M64" s="160"/>
      <c r="V64" s="166"/>
      <c r="W64" s="235" t="s">
        <v>273</v>
      </c>
      <c r="X64" s="245">
        <v>609</v>
      </c>
      <c r="Y64" s="245">
        <v>687</v>
      </c>
      <c r="Z64" s="245">
        <v>491</v>
      </c>
      <c r="AB64" s="230"/>
      <c r="AC64" s="230"/>
      <c r="AD64" s="230"/>
      <c r="AE64"/>
    </row>
    <row r="65" spans="2:31" x14ac:dyDescent="0.35">
      <c r="B65" s="44" t="str">
        <f t="shared" si="17"/>
        <v>Rx Tier 3</v>
      </c>
      <c r="C65" s="240">
        <f t="shared" si="19"/>
        <v>0</v>
      </c>
      <c r="D65" s="45">
        <f t="shared" si="20"/>
        <v>0</v>
      </c>
      <c r="E65" s="46">
        <f t="shared" si="21"/>
        <v>0</v>
      </c>
      <c r="F65" s="47">
        <f t="shared" si="18"/>
        <v>0</v>
      </c>
      <c r="G65" s="45">
        <f t="shared" si="22"/>
        <v>0</v>
      </c>
      <c r="M65" s="160"/>
      <c r="V65" s="166"/>
      <c r="W65" s="235" t="s">
        <v>274</v>
      </c>
      <c r="X65" s="245">
        <v>439</v>
      </c>
      <c r="Y65" s="245">
        <v>502</v>
      </c>
      <c r="Z65" s="245">
        <v>347</v>
      </c>
      <c r="AB65" s="230"/>
      <c r="AC65" s="230"/>
      <c r="AD65" s="230"/>
      <c r="AE65"/>
    </row>
    <row r="66" spans="2:31" x14ac:dyDescent="0.35">
      <c r="B66" s="163"/>
      <c r="C66" s="52"/>
      <c r="D66" s="164" t="s">
        <v>25</v>
      </c>
      <c r="E66" s="161">
        <f>+IF($E$6=$K$6,SUM(E55:E62),SUM(E55:E65))</f>
        <v>0</v>
      </c>
      <c r="F66" s="162">
        <f>Trad_Coinsurance</f>
        <v>0.2</v>
      </c>
      <c r="G66" s="41">
        <f>IF(SUM(G55:G65)&gt;$D$10,$D$10,SUM(G55:G65))</f>
        <v>0</v>
      </c>
      <c r="H66" s="161">
        <f>IF(SUM($G$55:$G$65)-$D$10&gt;0,F66*(SUM($G$55:$G$65)-$D$10),0)</f>
        <v>0</v>
      </c>
      <c r="I66" s="161"/>
      <c r="M66" s="160"/>
      <c r="V66" s="166"/>
      <c r="W66" s="3" t="s">
        <v>11</v>
      </c>
      <c r="X66" s="244">
        <v>804</v>
      </c>
      <c r="Y66" s="244">
        <v>909</v>
      </c>
      <c r="Z66" s="244">
        <v>638</v>
      </c>
      <c r="AB66"/>
      <c r="AC66"/>
      <c r="AD66"/>
      <c r="AE66"/>
    </row>
    <row r="67" spans="2:31" x14ac:dyDescent="0.35">
      <c r="B67" s="157"/>
      <c r="D67" s="56" t="s">
        <v>40</v>
      </c>
      <c r="E67" s="161"/>
      <c r="M67" s="160"/>
      <c r="V67" s="166"/>
      <c r="AB67"/>
      <c r="AC67"/>
      <c r="AD67"/>
      <c r="AE67"/>
    </row>
    <row r="68" spans="2:31" x14ac:dyDescent="0.35">
      <c r="B68" s="157"/>
      <c r="E68" s="1"/>
      <c r="M68" s="160"/>
      <c r="V68" s="166"/>
      <c r="W68" s="218" t="s">
        <v>339</v>
      </c>
      <c r="X68" s="180" t="s">
        <v>289</v>
      </c>
      <c r="Y68" s="180" t="s">
        <v>288</v>
      </c>
      <c r="Z68"/>
      <c r="AB68"/>
      <c r="AC68"/>
      <c r="AD68"/>
      <c r="AE68"/>
    </row>
    <row r="69" spans="2:31" x14ac:dyDescent="0.35">
      <c r="B69" s="157"/>
      <c r="E69" s="56" t="str">
        <f>B54</f>
        <v>D1</v>
      </c>
      <c r="M69" s="160"/>
      <c r="V69" s="166"/>
      <c r="W69" s="3" t="s">
        <v>10</v>
      </c>
      <c r="X69" s="244">
        <v>256</v>
      </c>
      <c r="Y69" s="244">
        <v>294</v>
      </c>
      <c r="Z69" s="244">
        <v>210</v>
      </c>
      <c r="AB69"/>
      <c r="AC69"/>
      <c r="AD69"/>
      <c r="AE69"/>
    </row>
    <row r="70" spans="2:31" x14ac:dyDescent="0.35">
      <c r="B70" s="165" t="s">
        <v>26</v>
      </c>
      <c r="C70" s="8">
        <f>G66</f>
        <v>0</v>
      </c>
      <c r="D70" s="56" t="s">
        <v>26</v>
      </c>
      <c r="E70" s="8">
        <f>C70</f>
        <v>0</v>
      </c>
      <c r="M70" s="160"/>
      <c r="V70" s="166"/>
      <c r="W70" s="235" t="s">
        <v>273</v>
      </c>
      <c r="X70" s="245">
        <v>638</v>
      </c>
      <c r="Y70" s="245">
        <v>720</v>
      </c>
      <c r="Z70" s="245">
        <v>515</v>
      </c>
      <c r="AB70"/>
      <c r="AC70"/>
      <c r="AD70"/>
      <c r="AE70"/>
    </row>
    <row r="71" spans="2:31" x14ac:dyDescent="0.35">
      <c r="B71" s="165" t="s">
        <v>22</v>
      </c>
      <c r="C71" s="8">
        <f>H66</f>
        <v>0</v>
      </c>
      <c r="D71" s="56" t="s">
        <v>27</v>
      </c>
      <c r="E71" s="8">
        <f>IF(C73&gt;$D$13-E70,$D$13-E70,C73)</f>
        <v>0</v>
      </c>
      <c r="M71" s="160"/>
      <c r="V71" s="166"/>
      <c r="W71" s="235" t="s">
        <v>274</v>
      </c>
      <c r="X71" s="245">
        <v>462</v>
      </c>
      <c r="Y71" s="245">
        <v>529</v>
      </c>
      <c r="Z71" s="245">
        <v>363</v>
      </c>
      <c r="AB71"/>
      <c r="AC71"/>
      <c r="AD71"/>
      <c r="AE71"/>
    </row>
    <row r="72" spans="2:31" ht="15" customHeight="1" x14ac:dyDescent="0.35">
      <c r="B72" s="168" t="str">
        <f>D66</f>
        <v>copays that count towards plan OOP max</v>
      </c>
      <c r="C72" s="6">
        <f>E66</f>
        <v>0</v>
      </c>
      <c r="D72" s="49"/>
      <c r="E72" s="6"/>
      <c r="M72" s="160"/>
      <c r="V72" s="166"/>
      <c r="W72" s="3" t="s">
        <v>11</v>
      </c>
      <c r="X72" s="244">
        <v>844</v>
      </c>
      <c r="Y72" s="244">
        <v>956</v>
      </c>
      <c r="Z72" s="244">
        <v>668</v>
      </c>
      <c r="AB72"/>
      <c r="AC72"/>
      <c r="AD72"/>
      <c r="AE72"/>
    </row>
    <row r="73" spans="2:31" x14ac:dyDescent="0.35">
      <c r="B73" s="165" t="s">
        <v>29</v>
      </c>
      <c r="C73" s="8">
        <f>C72+C71</f>
        <v>0</v>
      </c>
      <c r="D73" s="56" t="s">
        <v>28</v>
      </c>
      <c r="E73" s="8">
        <f>SUM(E70:E72)</f>
        <v>0</v>
      </c>
      <c r="M73" s="160"/>
      <c r="W73" s="108"/>
    </row>
    <row r="74" spans="2:31" x14ac:dyDescent="0.35">
      <c r="B74" s="165"/>
      <c r="C74" s="8"/>
      <c r="E74" s="1"/>
      <c r="M74" s="160"/>
      <c r="W74" s="108"/>
    </row>
    <row r="75" spans="2:31" x14ac:dyDescent="0.35">
      <c r="B75" s="169"/>
      <c r="C75" s="170"/>
      <c r="D75" s="170"/>
      <c r="E75" s="170"/>
      <c r="F75" s="170"/>
      <c r="G75" s="170"/>
      <c r="H75" s="170"/>
      <c r="I75" s="170"/>
      <c r="J75" s="170"/>
      <c r="K75" s="170"/>
      <c r="L75" s="170"/>
      <c r="M75" s="171"/>
      <c r="W75" s="108"/>
    </row>
    <row r="76" spans="2:31" x14ac:dyDescent="0.35">
      <c r="B76" s="48"/>
      <c r="E76" s="1"/>
      <c r="W76" s="108"/>
    </row>
    <row r="77" spans="2:31" ht="28.5" x14ac:dyDescent="0.65">
      <c r="B77" s="172" t="s">
        <v>258</v>
      </c>
      <c r="C77" s="173"/>
      <c r="D77" s="173"/>
      <c r="E77" s="173"/>
      <c r="F77" s="173"/>
      <c r="G77" s="173"/>
      <c r="H77" s="173"/>
      <c r="I77" s="173"/>
      <c r="J77" s="173"/>
      <c r="K77" s="173"/>
      <c r="L77" s="173"/>
      <c r="M77" s="173"/>
      <c r="N77" s="155"/>
      <c r="O77" s="156"/>
      <c r="W77" s="108"/>
    </row>
    <row r="78" spans="2:31" x14ac:dyDescent="0.35">
      <c r="B78" s="165"/>
      <c r="E78" s="1"/>
      <c r="O78" s="160"/>
      <c r="W78" s="108"/>
    </row>
    <row r="79" spans="2:31" x14ac:dyDescent="0.35">
      <c r="B79" s="157"/>
      <c r="E79" s="1"/>
      <c r="O79" s="160"/>
      <c r="W79" s="108"/>
    </row>
    <row r="80" spans="2:31" x14ac:dyDescent="0.35">
      <c r="B80" s="159" t="s">
        <v>16</v>
      </c>
      <c r="C80" s="38"/>
      <c r="D80" s="39" t="s">
        <v>21</v>
      </c>
      <c r="E80" s="39" t="s">
        <v>20</v>
      </c>
      <c r="F80" s="39" t="s">
        <v>22</v>
      </c>
      <c r="G80" s="38" t="s">
        <v>23</v>
      </c>
      <c r="H80" s="39" t="s">
        <v>24</v>
      </c>
      <c r="I80" s="152"/>
      <c r="J80"/>
      <c r="O80" s="160"/>
      <c r="W80" s="108"/>
    </row>
    <row r="81" spans="1:23" x14ac:dyDescent="0.35">
      <c r="A81" s="8"/>
      <c r="B81" s="40" t="str">
        <f t="shared" ref="B81:B91" si="23">B16</f>
        <v>Inpatient Hospital</v>
      </c>
      <c r="C81" s="52">
        <f>IF($E$5=$K$6,X6,Y6)</f>
        <v>0</v>
      </c>
      <c r="D81" s="41">
        <f t="shared" ref="D81:D91" si="24">+VLOOKUP($B$81:$B$91,$K$16:$L$26,2,FALSE)*C81</f>
        <v>0</v>
      </c>
      <c r="E81" s="161">
        <f>+VLOOKUP(B81,$B$16:$G$26,5,FALSE)*C81</f>
        <v>0</v>
      </c>
      <c r="F81" s="162">
        <f>+VLOOKUP(B81,$B$16:$G$26,6,FALSE)</f>
        <v>0.2</v>
      </c>
      <c r="G81" s="41">
        <f>D81</f>
        <v>0</v>
      </c>
      <c r="H81" s="178"/>
      <c r="I81" s="41"/>
      <c r="J81"/>
      <c r="L81" s="52"/>
      <c r="O81" s="160"/>
      <c r="W81" s="108"/>
    </row>
    <row r="82" spans="1:23" x14ac:dyDescent="0.35">
      <c r="A82" s="8"/>
      <c r="B82" s="42" t="str">
        <f t="shared" si="23"/>
        <v>Outpatient</v>
      </c>
      <c r="C82" s="52">
        <f t="shared" ref="C82:C91" si="25">IF($E$5=$K$6,X7,Y7)</f>
        <v>0</v>
      </c>
      <c r="D82" s="41">
        <f t="shared" si="24"/>
        <v>0</v>
      </c>
      <c r="E82" s="161">
        <f t="shared" ref="E82:E91" si="26">+VLOOKUP(B82,$B$16:$G$26,5,FALSE)*C82</f>
        <v>0</v>
      </c>
      <c r="F82" s="162">
        <f t="shared" ref="F82:F90" si="27">+VLOOKUP(B82,$B$16:$G$26,6,FALSE)</f>
        <v>0.2</v>
      </c>
      <c r="G82" s="41">
        <f t="shared" ref="G82:G91" si="28">D82</f>
        <v>0</v>
      </c>
      <c r="H82" s="178"/>
      <c r="I82" s="41"/>
      <c r="J82"/>
      <c r="O82" s="160"/>
      <c r="W82" s="108"/>
    </row>
    <row r="83" spans="1:23" x14ac:dyDescent="0.35">
      <c r="A83" s="8"/>
      <c r="B83" s="42" t="str">
        <f t="shared" si="23"/>
        <v>Diagnostic Labs</v>
      </c>
      <c r="C83" s="52">
        <f t="shared" si="25"/>
        <v>0</v>
      </c>
      <c r="D83" s="41">
        <f t="shared" si="24"/>
        <v>0</v>
      </c>
      <c r="E83" s="161">
        <f t="shared" si="26"/>
        <v>0</v>
      </c>
      <c r="F83" s="162">
        <f t="shared" si="27"/>
        <v>0.2</v>
      </c>
      <c r="G83" s="41">
        <f t="shared" si="28"/>
        <v>0</v>
      </c>
      <c r="H83" s="178"/>
      <c r="I83" s="41"/>
      <c r="J83"/>
      <c r="L83" s="41"/>
      <c r="O83" s="160"/>
    </row>
    <row r="84" spans="1:23" x14ac:dyDescent="0.35">
      <c r="A84" s="8"/>
      <c r="B84" s="43" t="str">
        <f t="shared" si="23"/>
        <v>Therapy</v>
      </c>
      <c r="C84" s="52">
        <f t="shared" si="25"/>
        <v>0</v>
      </c>
      <c r="D84" s="41">
        <f t="shared" si="24"/>
        <v>0</v>
      </c>
      <c r="E84" s="161">
        <f t="shared" si="26"/>
        <v>0</v>
      </c>
      <c r="F84" s="162">
        <f t="shared" si="27"/>
        <v>0.2</v>
      </c>
      <c r="G84" s="41">
        <f t="shared" si="28"/>
        <v>0</v>
      </c>
      <c r="H84" s="178"/>
      <c r="I84" s="41"/>
      <c r="J84"/>
      <c r="L84" s="52"/>
      <c r="O84" s="160"/>
    </row>
    <row r="85" spans="1:23" x14ac:dyDescent="0.35">
      <c r="A85" s="8"/>
      <c r="B85" s="43" t="str">
        <f t="shared" si="23"/>
        <v>Emergency Room</v>
      </c>
      <c r="C85" s="52">
        <f t="shared" si="25"/>
        <v>0</v>
      </c>
      <c r="D85" s="41">
        <f t="shared" si="24"/>
        <v>0</v>
      </c>
      <c r="E85" s="161">
        <f t="shared" si="26"/>
        <v>0</v>
      </c>
      <c r="F85" s="162">
        <f t="shared" si="27"/>
        <v>0.2</v>
      </c>
      <c r="G85" s="41">
        <f t="shared" si="28"/>
        <v>0</v>
      </c>
      <c r="H85" s="178"/>
      <c r="I85" s="41"/>
      <c r="J85"/>
      <c r="L85" s="41"/>
      <c r="O85" s="160"/>
    </row>
    <row r="86" spans="1:23" x14ac:dyDescent="0.35">
      <c r="A86" s="8"/>
      <c r="B86" s="190" t="str">
        <f t="shared" si="23"/>
        <v>Urgent Care</v>
      </c>
      <c r="C86" s="52">
        <f t="shared" si="25"/>
        <v>0</v>
      </c>
      <c r="D86" s="41">
        <f t="shared" si="24"/>
        <v>0</v>
      </c>
      <c r="E86" s="161">
        <f t="shared" si="26"/>
        <v>0</v>
      </c>
      <c r="F86" s="162">
        <f t="shared" si="27"/>
        <v>0.2</v>
      </c>
      <c r="G86" s="41">
        <f t="shared" si="28"/>
        <v>0</v>
      </c>
      <c r="H86" s="178"/>
      <c r="I86" s="41"/>
      <c r="J86"/>
      <c r="L86" s="41"/>
      <c r="N86" s="177"/>
      <c r="O86" s="160"/>
    </row>
    <row r="87" spans="1:23" x14ac:dyDescent="0.35">
      <c r="A87" s="8"/>
      <c r="B87" s="43" t="str">
        <f t="shared" si="23"/>
        <v>Specialist</v>
      </c>
      <c r="C87" s="52">
        <f t="shared" si="25"/>
        <v>0</v>
      </c>
      <c r="D87" s="41">
        <f t="shared" si="24"/>
        <v>0</v>
      </c>
      <c r="E87" s="161">
        <f t="shared" si="26"/>
        <v>0</v>
      </c>
      <c r="F87" s="162">
        <f t="shared" si="27"/>
        <v>0.2</v>
      </c>
      <c r="G87" s="41">
        <f t="shared" si="28"/>
        <v>0</v>
      </c>
      <c r="H87" s="178"/>
      <c r="I87" s="41"/>
      <c r="J87"/>
      <c r="L87" s="52"/>
      <c r="O87" s="160"/>
      <c r="P87" s="151"/>
      <c r="Q87" s="8"/>
    </row>
    <row r="88" spans="1:23" x14ac:dyDescent="0.35">
      <c r="A88" s="8"/>
      <c r="B88" s="43" t="str">
        <f t="shared" si="23"/>
        <v>Primary Care</v>
      </c>
      <c r="C88" s="52">
        <f t="shared" si="25"/>
        <v>0</v>
      </c>
      <c r="D88" s="41">
        <f t="shared" si="24"/>
        <v>0</v>
      </c>
      <c r="E88" s="161">
        <f t="shared" si="26"/>
        <v>0</v>
      </c>
      <c r="F88" s="162">
        <f t="shared" si="27"/>
        <v>0.2</v>
      </c>
      <c r="G88" s="41">
        <f t="shared" si="28"/>
        <v>0</v>
      </c>
      <c r="H88" s="178"/>
      <c r="I88" s="41"/>
      <c r="J88"/>
      <c r="L88" s="75"/>
      <c r="M88" s="177"/>
      <c r="O88" s="160"/>
      <c r="P88" s="8"/>
    </row>
    <row r="89" spans="1:23" x14ac:dyDescent="0.35">
      <c r="A89" s="8"/>
      <c r="B89" s="43" t="str">
        <f t="shared" si="23"/>
        <v>Rx Tier 1</v>
      </c>
      <c r="C89" s="52">
        <f t="shared" si="25"/>
        <v>0</v>
      </c>
      <c r="D89" s="41">
        <f t="shared" si="24"/>
        <v>0</v>
      </c>
      <c r="E89" s="161">
        <f t="shared" si="26"/>
        <v>0</v>
      </c>
      <c r="F89" s="162">
        <f t="shared" si="27"/>
        <v>0.2</v>
      </c>
      <c r="G89" s="41">
        <f>D89</f>
        <v>0</v>
      </c>
      <c r="H89" s="178"/>
      <c r="I89" s="41"/>
      <c r="J89"/>
      <c r="L89" s="75"/>
      <c r="M89" s="177"/>
      <c r="O89" s="160"/>
    </row>
    <row r="90" spans="1:23" x14ac:dyDescent="0.35">
      <c r="A90" s="8"/>
      <c r="B90" s="43" t="str">
        <f t="shared" si="23"/>
        <v>Rx Tier 2</v>
      </c>
      <c r="C90" s="52">
        <f t="shared" si="25"/>
        <v>0</v>
      </c>
      <c r="D90" s="41">
        <f t="shared" si="24"/>
        <v>0</v>
      </c>
      <c r="E90" s="161">
        <f t="shared" si="26"/>
        <v>0</v>
      </c>
      <c r="F90" s="162">
        <f t="shared" si="27"/>
        <v>0.2</v>
      </c>
      <c r="G90" s="41">
        <f t="shared" si="28"/>
        <v>0</v>
      </c>
      <c r="H90" s="178"/>
      <c r="I90" s="41"/>
      <c r="J90"/>
      <c r="L90" s="75"/>
      <c r="M90" s="75"/>
      <c r="O90" s="160"/>
    </row>
    <row r="91" spans="1:23" x14ac:dyDescent="0.35">
      <c r="A91" s="8"/>
      <c r="B91" s="44" t="str">
        <f t="shared" si="23"/>
        <v>Rx Tier 3</v>
      </c>
      <c r="C91" s="9">
        <f t="shared" si="25"/>
        <v>0</v>
      </c>
      <c r="D91" s="45">
        <f t="shared" si="24"/>
        <v>0</v>
      </c>
      <c r="E91" s="46">
        <f t="shared" si="26"/>
        <v>0</v>
      </c>
      <c r="F91" s="47">
        <f>+VLOOKUP(B91,$B$16:$G$26,6,FALSE)</f>
        <v>0.2</v>
      </c>
      <c r="G91" s="45">
        <f t="shared" si="28"/>
        <v>0</v>
      </c>
      <c r="H91" s="179"/>
      <c r="I91" s="45"/>
      <c r="J91"/>
      <c r="L91" s="75"/>
      <c r="M91" s="177"/>
      <c r="N91" s="1">
        <f>5500-4445</f>
        <v>1055</v>
      </c>
      <c r="O91" s="160"/>
    </row>
    <row r="92" spans="1:23" x14ac:dyDescent="0.35">
      <c r="B92" s="157"/>
      <c r="D92" s="164" t="s">
        <v>36</v>
      </c>
      <c r="E92" s="161">
        <f>+IF($E$6=$K$6,SUM(E81:E88),SUM(E81:E91))</f>
        <v>0</v>
      </c>
      <c r="F92" s="162">
        <f>HDHP_Coinsurance</f>
        <v>0.2</v>
      </c>
      <c r="G92" s="41">
        <f>SUM(G81:G91)</f>
        <v>0</v>
      </c>
      <c r="H92" s="161">
        <f>IF((SUM($G$81:$G$91)-(IF($E$2=$S$24,$F$10,$F$11)))&gt;0,F92*(SUM($G$81:$G$91)-(IF($E$2=$S$24,$F$10,$F$11))),0)</f>
        <v>0</v>
      </c>
      <c r="I92" s="161"/>
      <c r="J92"/>
      <c r="N92" s="1">
        <f>1375-N91</f>
        <v>320</v>
      </c>
      <c r="O92" s="160"/>
    </row>
    <row r="93" spans="1:23" x14ac:dyDescent="0.35">
      <c r="B93" s="157"/>
      <c r="E93" s="1"/>
      <c r="G93" s="41"/>
      <c r="H93" s="109"/>
      <c r="J93" s="48"/>
      <c r="N93" s="1">
        <f>320*0.2</f>
        <v>64</v>
      </c>
      <c r="O93" s="160"/>
      <c r="R93" s="198"/>
      <c r="T93" s="198"/>
      <c r="V93" s="198"/>
    </row>
    <row r="94" spans="1:23" x14ac:dyDescent="0.35">
      <c r="B94" s="157"/>
      <c r="E94" s="1"/>
      <c r="J94" s="48"/>
      <c r="O94" s="160"/>
      <c r="R94" s="198"/>
      <c r="T94" s="198"/>
      <c r="V94" s="198"/>
    </row>
    <row r="95" spans="1:23" x14ac:dyDescent="0.35">
      <c r="B95" s="157"/>
      <c r="E95" s="1"/>
      <c r="J95" s="48"/>
      <c r="M95" s="8"/>
      <c r="N95" s="8"/>
      <c r="O95" s="160"/>
    </row>
    <row r="96" spans="1:23" x14ac:dyDescent="0.35">
      <c r="B96" s="157" t="s">
        <v>276</v>
      </c>
      <c r="C96" s="8">
        <f>IF($E$2=$S$24,IF(G92&gt;L96,L96,G92),IF(G92&gt;M96,M96,G92))</f>
        <v>0</v>
      </c>
      <c r="D96" s="8"/>
      <c r="G96" s="167">
        <f>C96</f>
        <v>0</v>
      </c>
      <c r="J96" s="48"/>
      <c r="K96" s="1" t="s">
        <v>23</v>
      </c>
      <c r="L96" s="41">
        <f>F10</f>
        <v>3000</v>
      </c>
      <c r="M96" s="41">
        <f>F11</f>
        <v>6000</v>
      </c>
      <c r="N96" s="8"/>
      <c r="O96" s="160"/>
      <c r="R96" s="8"/>
    </row>
    <row r="97" spans="1:24" x14ac:dyDescent="0.35">
      <c r="B97" s="157" t="s">
        <v>277</v>
      </c>
      <c r="C97" s="8">
        <f>IF($E$2=$S$24,IF($H92&gt;$L98,$L98,$H92),IF($H92&gt;$M98,$M98,$H92))</f>
        <v>0</v>
      </c>
      <c r="D97" s="8"/>
      <c r="G97" s="167">
        <f>C97</f>
        <v>0</v>
      </c>
      <c r="J97" s="48"/>
      <c r="K97" s="1" t="s">
        <v>277</v>
      </c>
      <c r="L97" s="41">
        <f>F13</f>
        <v>3750</v>
      </c>
      <c r="M97" s="41">
        <f>F14</f>
        <v>7500</v>
      </c>
      <c r="O97" s="160"/>
      <c r="R97" s="8"/>
      <c r="X97" s="198"/>
    </row>
    <row r="98" spans="1:24" x14ac:dyDescent="0.35">
      <c r="B98" s="168"/>
      <c r="C98" s="6"/>
      <c r="D98" s="6"/>
      <c r="G98" s="50"/>
      <c r="J98" s="48"/>
      <c r="L98" s="41">
        <f>L97-L96</f>
        <v>750</v>
      </c>
      <c r="M98" s="41">
        <f>M97-M96</f>
        <v>1500</v>
      </c>
      <c r="O98" s="160"/>
    </row>
    <row r="99" spans="1:24" x14ac:dyDescent="0.35">
      <c r="B99" s="174"/>
      <c r="C99" s="8"/>
      <c r="D99" s="8"/>
      <c r="G99" s="167">
        <f>+SUM(G96:G98)</f>
        <v>0</v>
      </c>
      <c r="J99" s="48"/>
      <c r="L99" s="8"/>
      <c r="O99" s="160"/>
    </row>
    <row r="100" spans="1:24" x14ac:dyDescent="0.35">
      <c r="B100" s="157"/>
      <c r="J100" s="48"/>
      <c r="O100" s="160"/>
    </row>
    <row r="101" spans="1:24" x14ac:dyDescent="0.35">
      <c r="B101" s="157"/>
      <c r="E101" s="1"/>
      <c r="J101" s="48"/>
      <c r="O101" s="160"/>
    </row>
    <row r="102" spans="1:24" x14ac:dyDescent="0.35">
      <c r="B102" s="159" t="s">
        <v>16</v>
      </c>
      <c r="C102" s="38"/>
      <c r="D102" s="39" t="s">
        <v>21</v>
      </c>
      <c r="E102" s="39" t="s">
        <v>20</v>
      </c>
      <c r="F102" s="39" t="s">
        <v>22</v>
      </c>
      <c r="G102" s="38" t="s">
        <v>23</v>
      </c>
      <c r="H102" s="39" t="s">
        <v>24</v>
      </c>
      <c r="I102" s="152"/>
      <c r="J102"/>
      <c r="O102" s="160"/>
    </row>
    <row r="103" spans="1:24" x14ac:dyDescent="0.35">
      <c r="A103" s="8"/>
      <c r="B103" s="40" t="str">
        <f t="shared" ref="B103:B113" si="29">B16</f>
        <v>Inpatient Hospital</v>
      </c>
      <c r="C103" s="52">
        <f>IF($E$5=$J$6,0,Z6)</f>
        <v>0</v>
      </c>
      <c r="D103" s="41">
        <f t="shared" ref="D103:D113" si="30">+VLOOKUP($B$103:$B$113,$K$16:$L$26,2,FALSE)*C103</f>
        <v>0</v>
      </c>
      <c r="E103" s="161">
        <f>+VLOOKUP(B103,$B$16:$G$26,5,FALSE)*C103</f>
        <v>0</v>
      </c>
      <c r="F103" s="162">
        <f>+VLOOKUP(B103,$B$16:$G$26,6,FALSE)</f>
        <v>0.2</v>
      </c>
      <c r="G103" s="41">
        <f>D103</f>
        <v>0</v>
      </c>
      <c r="H103" s="178"/>
      <c r="I103" s="41"/>
      <c r="J103"/>
      <c r="O103" s="160"/>
    </row>
    <row r="104" spans="1:24" x14ac:dyDescent="0.35">
      <c r="A104" s="8"/>
      <c r="B104" s="42" t="str">
        <f t="shared" si="29"/>
        <v>Outpatient</v>
      </c>
      <c r="C104" s="52">
        <f t="shared" ref="C104:C113" si="31">IF($E$5=$J$6,0,Z7)</f>
        <v>0</v>
      </c>
      <c r="D104" s="41">
        <f t="shared" si="30"/>
        <v>0</v>
      </c>
      <c r="E104" s="161">
        <f t="shared" ref="E104:E113" si="32">+VLOOKUP(B104,$B$16:$G$26,5,FALSE)*C104</f>
        <v>0</v>
      </c>
      <c r="F104" s="162">
        <f t="shared" ref="F104:F112" si="33">+VLOOKUP(B104,$B$16:$G$26,6,FALSE)</f>
        <v>0.2</v>
      </c>
      <c r="G104" s="41">
        <f t="shared" ref="G104:G113" si="34">D104</f>
        <v>0</v>
      </c>
      <c r="H104" s="178"/>
      <c r="I104" s="41"/>
      <c r="J104"/>
      <c r="O104" s="160"/>
    </row>
    <row r="105" spans="1:24" x14ac:dyDescent="0.35">
      <c r="A105" s="8"/>
      <c r="B105" s="42" t="str">
        <f t="shared" si="29"/>
        <v>Diagnostic Labs</v>
      </c>
      <c r="C105" s="52">
        <f t="shared" si="31"/>
        <v>0</v>
      </c>
      <c r="D105" s="41">
        <f t="shared" si="30"/>
        <v>0</v>
      </c>
      <c r="E105" s="161">
        <f t="shared" si="32"/>
        <v>0</v>
      </c>
      <c r="F105" s="162">
        <f t="shared" si="33"/>
        <v>0.2</v>
      </c>
      <c r="G105" s="41">
        <f t="shared" si="34"/>
        <v>0</v>
      </c>
      <c r="H105" s="178"/>
      <c r="I105" s="41"/>
      <c r="J105"/>
      <c r="L105" s="41"/>
      <c r="O105" s="160"/>
    </row>
    <row r="106" spans="1:24" x14ac:dyDescent="0.35">
      <c r="A106" s="8"/>
      <c r="B106" s="43" t="str">
        <f t="shared" si="29"/>
        <v>Therapy</v>
      </c>
      <c r="C106" s="52">
        <f t="shared" si="31"/>
        <v>0</v>
      </c>
      <c r="D106" s="41">
        <f t="shared" si="30"/>
        <v>0</v>
      </c>
      <c r="E106" s="161">
        <f t="shared" si="32"/>
        <v>0</v>
      </c>
      <c r="F106" s="162">
        <f t="shared" si="33"/>
        <v>0.2</v>
      </c>
      <c r="G106" s="41">
        <f t="shared" si="34"/>
        <v>0</v>
      </c>
      <c r="H106" s="178"/>
      <c r="I106" s="41"/>
      <c r="J106"/>
      <c r="O106" s="160"/>
    </row>
    <row r="107" spans="1:24" x14ac:dyDescent="0.35">
      <c r="A107" s="8"/>
      <c r="B107" s="43" t="str">
        <f t="shared" si="29"/>
        <v>Emergency Room</v>
      </c>
      <c r="C107" s="52">
        <f t="shared" si="31"/>
        <v>0</v>
      </c>
      <c r="D107" s="41">
        <f t="shared" si="30"/>
        <v>0</v>
      </c>
      <c r="E107" s="161">
        <f t="shared" si="32"/>
        <v>0</v>
      </c>
      <c r="F107" s="162">
        <f t="shared" si="33"/>
        <v>0.2</v>
      </c>
      <c r="G107" s="41">
        <f t="shared" si="34"/>
        <v>0</v>
      </c>
      <c r="H107" s="178"/>
      <c r="I107" s="41"/>
      <c r="J107"/>
      <c r="L107" s="41"/>
      <c r="O107" s="160"/>
    </row>
    <row r="108" spans="1:24" x14ac:dyDescent="0.35">
      <c r="A108" s="8"/>
      <c r="B108" s="190" t="str">
        <f t="shared" si="29"/>
        <v>Urgent Care</v>
      </c>
      <c r="C108" s="52">
        <f t="shared" si="31"/>
        <v>0</v>
      </c>
      <c r="D108" s="41">
        <f t="shared" si="30"/>
        <v>0</v>
      </c>
      <c r="E108" s="161">
        <f t="shared" si="32"/>
        <v>0</v>
      </c>
      <c r="F108" s="162">
        <f t="shared" si="33"/>
        <v>0.2</v>
      </c>
      <c r="G108" s="41">
        <f t="shared" si="34"/>
        <v>0</v>
      </c>
      <c r="H108" s="178"/>
      <c r="I108" s="41"/>
      <c r="J108"/>
      <c r="L108" s="41"/>
      <c r="O108" s="160"/>
    </row>
    <row r="109" spans="1:24" x14ac:dyDescent="0.35">
      <c r="A109" s="8"/>
      <c r="B109" s="43" t="str">
        <f t="shared" si="29"/>
        <v>Specialist</v>
      </c>
      <c r="C109" s="52">
        <f t="shared" si="31"/>
        <v>0</v>
      </c>
      <c r="D109" s="41">
        <f t="shared" si="30"/>
        <v>0</v>
      </c>
      <c r="E109" s="161">
        <f t="shared" si="32"/>
        <v>0</v>
      </c>
      <c r="F109" s="162">
        <f t="shared" si="33"/>
        <v>0.2</v>
      </c>
      <c r="G109" s="41">
        <f t="shared" si="34"/>
        <v>0</v>
      </c>
      <c r="H109" s="178"/>
      <c r="I109" s="41"/>
      <c r="J109"/>
      <c r="L109" s="52"/>
      <c r="O109" s="160"/>
    </row>
    <row r="110" spans="1:24" x14ac:dyDescent="0.35">
      <c r="A110" s="8"/>
      <c r="B110" s="43" t="str">
        <f t="shared" si="29"/>
        <v>Primary Care</v>
      </c>
      <c r="C110" s="52">
        <f t="shared" si="31"/>
        <v>0</v>
      </c>
      <c r="D110" s="41">
        <f t="shared" si="30"/>
        <v>0</v>
      </c>
      <c r="E110" s="161">
        <f t="shared" si="32"/>
        <v>0</v>
      </c>
      <c r="F110" s="162">
        <f t="shared" si="33"/>
        <v>0.2</v>
      </c>
      <c r="G110" s="41">
        <f t="shared" si="34"/>
        <v>0</v>
      </c>
      <c r="H110" s="178"/>
      <c r="I110" s="41"/>
      <c r="J110"/>
      <c r="L110" s="75"/>
      <c r="M110" s="177"/>
      <c r="O110" s="160"/>
    </row>
    <row r="111" spans="1:24" x14ac:dyDescent="0.35">
      <c r="A111" s="8"/>
      <c r="B111" s="43" t="str">
        <f t="shared" si="29"/>
        <v>Rx Tier 1</v>
      </c>
      <c r="C111" s="52">
        <f t="shared" si="31"/>
        <v>0</v>
      </c>
      <c r="D111" s="41">
        <f t="shared" si="30"/>
        <v>0</v>
      </c>
      <c r="E111" s="161">
        <f t="shared" si="32"/>
        <v>0</v>
      </c>
      <c r="F111" s="162">
        <f t="shared" si="33"/>
        <v>0.2</v>
      </c>
      <c r="G111" s="41">
        <f t="shared" si="34"/>
        <v>0</v>
      </c>
      <c r="H111" s="178"/>
      <c r="I111" s="41"/>
      <c r="J111"/>
      <c r="L111" s="75"/>
      <c r="M111" s="177"/>
      <c r="O111" s="160"/>
    </row>
    <row r="112" spans="1:24" x14ac:dyDescent="0.35">
      <c r="A112" s="8"/>
      <c r="B112" s="43" t="str">
        <f t="shared" si="29"/>
        <v>Rx Tier 2</v>
      </c>
      <c r="C112" s="52">
        <f t="shared" si="31"/>
        <v>0</v>
      </c>
      <c r="D112" s="41">
        <f t="shared" si="30"/>
        <v>0</v>
      </c>
      <c r="E112" s="161">
        <f t="shared" si="32"/>
        <v>0</v>
      </c>
      <c r="F112" s="162">
        <f t="shared" si="33"/>
        <v>0.2</v>
      </c>
      <c r="G112" s="41">
        <f t="shared" si="34"/>
        <v>0</v>
      </c>
      <c r="H112" s="178"/>
      <c r="I112" s="41"/>
      <c r="J112"/>
      <c r="L112" s="75"/>
      <c r="M112" s="75"/>
      <c r="O112" s="160"/>
    </row>
    <row r="113" spans="1:25" x14ac:dyDescent="0.35">
      <c r="A113" s="8"/>
      <c r="B113" s="44" t="str">
        <f t="shared" si="29"/>
        <v>Rx Tier 3</v>
      </c>
      <c r="C113" s="9">
        <f t="shared" si="31"/>
        <v>0</v>
      </c>
      <c r="D113" s="45">
        <f t="shared" si="30"/>
        <v>0</v>
      </c>
      <c r="E113" s="46">
        <f t="shared" si="32"/>
        <v>0</v>
      </c>
      <c r="F113" s="47">
        <f>+VLOOKUP(B113,$B$16:$G$26,6,FALSE)</f>
        <v>0.2</v>
      </c>
      <c r="G113" s="45">
        <f t="shared" si="34"/>
        <v>0</v>
      </c>
      <c r="H113" s="179"/>
      <c r="I113" s="45"/>
      <c r="J113"/>
      <c r="L113" s="75"/>
      <c r="M113" s="177"/>
      <c r="O113" s="160"/>
    </row>
    <row r="114" spans="1:25" x14ac:dyDescent="0.35">
      <c r="B114" s="157"/>
      <c r="D114" s="164" t="s">
        <v>36</v>
      </c>
      <c r="E114" s="161">
        <f>+IF($E$6=$K$6,SUM(E103:E110),SUM(E103:E113))</f>
        <v>0</v>
      </c>
      <c r="F114" s="162">
        <f>HDHP_Coinsurance</f>
        <v>0.2</v>
      </c>
      <c r="G114" s="41">
        <f>IF(SUM(G103:G113)&gt;$L$96,$L$96,SUM(G103:G113))</f>
        <v>0</v>
      </c>
      <c r="H114" s="161">
        <f>IF(SUM($G$103:$G$113)-$F$10&gt;0,F114*(SUM($G$103:$G$113)-$F$10),0)</f>
        <v>0</v>
      </c>
      <c r="I114" s="161"/>
      <c r="J114"/>
      <c r="O114" s="160"/>
    </row>
    <row r="115" spans="1:25" x14ac:dyDescent="0.35">
      <c r="B115" s="157"/>
      <c r="E115" s="1"/>
      <c r="G115" s="41">
        <f>SUM(G103:G113)</f>
        <v>0</v>
      </c>
      <c r="J115" s="48"/>
      <c r="O115" s="160"/>
    </row>
    <row r="116" spans="1:25" x14ac:dyDescent="0.35">
      <c r="B116" s="157"/>
      <c r="E116" s="1"/>
      <c r="J116" s="48"/>
      <c r="O116" s="160"/>
    </row>
    <row r="117" spans="1:25" x14ac:dyDescent="0.35">
      <c r="B117" s="163"/>
      <c r="C117" s="52"/>
      <c r="M117" s="8"/>
      <c r="N117" s="8"/>
      <c r="O117" s="160"/>
    </row>
    <row r="118" spans="1:25" x14ac:dyDescent="0.35">
      <c r="B118" s="157" t="s">
        <v>276</v>
      </c>
      <c r="C118" s="8">
        <f>G114</f>
        <v>0</v>
      </c>
      <c r="D118" s="8">
        <f>C118</f>
        <v>0</v>
      </c>
      <c r="E118" s="1"/>
      <c r="M118" s="8"/>
      <c r="N118" s="8"/>
      <c r="O118" s="160"/>
    </row>
    <row r="119" spans="1:25" x14ac:dyDescent="0.35">
      <c r="B119" s="157" t="s">
        <v>277</v>
      </c>
      <c r="C119" s="8">
        <f>J114</f>
        <v>0</v>
      </c>
      <c r="D119" s="8">
        <f>IF((C119)&gt;$M$96,$M$96,(C119))</f>
        <v>0</v>
      </c>
      <c r="E119" s="1"/>
      <c r="M119" s="8"/>
      <c r="O119" s="160"/>
    </row>
    <row r="120" spans="1:25" x14ac:dyDescent="0.35">
      <c r="B120" s="168"/>
      <c r="C120" s="6"/>
      <c r="D120" s="6"/>
      <c r="N120" s="56"/>
      <c r="O120" s="160"/>
    </row>
    <row r="121" spans="1:25" x14ac:dyDescent="0.35">
      <c r="B121" s="174"/>
      <c r="C121" s="8"/>
      <c r="D121" s="8"/>
      <c r="E121" s="1"/>
      <c r="K121" s="56"/>
      <c r="L121" s="8"/>
      <c r="O121" s="160"/>
      <c r="P121"/>
      <c r="Q121"/>
      <c r="R121"/>
      <c r="S121"/>
      <c r="T121"/>
      <c r="U121"/>
      <c r="V121"/>
      <c r="W121"/>
      <c r="X121"/>
      <c r="Y121"/>
    </row>
    <row r="122" spans="1:25" x14ac:dyDescent="0.35">
      <c r="B122" s="175"/>
      <c r="C122" s="170"/>
      <c r="D122" s="170"/>
      <c r="E122" s="176"/>
      <c r="F122" s="170"/>
      <c r="G122" s="170"/>
      <c r="H122" s="170"/>
      <c r="I122" s="170"/>
      <c r="J122" s="170"/>
      <c r="K122" s="170"/>
      <c r="L122" s="170"/>
      <c r="M122" s="170"/>
      <c r="N122" s="170"/>
      <c r="O122" s="171"/>
      <c r="P122"/>
      <c r="Q122"/>
      <c r="R122"/>
      <c r="S122"/>
      <c r="T122"/>
      <c r="U122"/>
      <c r="V122"/>
      <c r="W122"/>
      <c r="X122"/>
      <c r="Y122"/>
    </row>
    <row r="123" spans="1:25" x14ac:dyDescent="0.35">
      <c r="P123"/>
      <c r="Q123"/>
      <c r="R123"/>
      <c r="S123"/>
      <c r="T123"/>
      <c r="U123"/>
      <c r="V123"/>
      <c r="W123"/>
      <c r="X123"/>
      <c r="Y123"/>
    </row>
    <row r="124" spans="1:25" ht="23" x14ac:dyDescent="0.5">
      <c r="B124" s="153" t="str">
        <f>H8</f>
        <v>PPO 80/20</v>
      </c>
      <c r="C124" s="154"/>
      <c r="D124" s="251"/>
      <c r="E124" s="251"/>
      <c r="F124" s="251"/>
      <c r="G124" s="251"/>
      <c r="H124" s="155"/>
      <c r="I124" s="155"/>
      <c r="J124" s="155"/>
      <c r="K124" s="155"/>
      <c r="L124" s="155"/>
      <c r="M124" s="155"/>
      <c r="N124" s="155"/>
      <c r="O124" s="156"/>
      <c r="P124"/>
      <c r="Q124"/>
      <c r="R124"/>
      <c r="S124"/>
      <c r="T124"/>
      <c r="U124"/>
      <c r="V124"/>
      <c r="W124"/>
      <c r="X124"/>
      <c r="Y124"/>
    </row>
    <row r="125" spans="1:25" x14ac:dyDescent="0.35">
      <c r="B125" s="157"/>
      <c r="E125" s="1"/>
      <c r="M125" s="8"/>
      <c r="O125" s="160"/>
      <c r="P125"/>
      <c r="Q125"/>
      <c r="R125"/>
      <c r="S125"/>
      <c r="T125"/>
      <c r="U125"/>
      <c r="V125"/>
      <c r="W125"/>
      <c r="X125"/>
      <c r="Y125"/>
    </row>
    <row r="126" spans="1:25" x14ac:dyDescent="0.35">
      <c r="B126" s="159" t="s">
        <v>16</v>
      </c>
      <c r="C126" s="38"/>
      <c r="D126" s="39" t="s">
        <v>21</v>
      </c>
      <c r="E126" s="39" t="s">
        <v>20</v>
      </c>
      <c r="F126" s="39" t="s">
        <v>22</v>
      </c>
      <c r="G126" s="38" t="s">
        <v>23</v>
      </c>
      <c r="H126" s="39" t="s">
        <v>24</v>
      </c>
      <c r="I126" s="152"/>
      <c r="K126" s="1" t="s">
        <v>307</v>
      </c>
      <c r="O126" s="160"/>
      <c r="P126"/>
      <c r="Q126"/>
      <c r="R126"/>
      <c r="S126"/>
      <c r="T126"/>
      <c r="U126"/>
      <c r="V126"/>
      <c r="W126"/>
      <c r="X126"/>
      <c r="Y126"/>
    </row>
    <row r="127" spans="1:25" x14ac:dyDescent="0.35">
      <c r="B127" s="40" t="str">
        <f>B32</f>
        <v>Inpatient Hospital</v>
      </c>
      <c r="C127" s="52">
        <f>IF($K$127=$J$5,Y6,X6)</f>
        <v>0</v>
      </c>
      <c r="D127" s="41">
        <f>+VLOOKUP($B$127:$B$137,$K$16:$L$26,2,FALSE)*C127</f>
        <v>0</v>
      </c>
      <c r="E127" s="161">
        <f>+VLOOKUP(B127,$B$16:$I$26,7,FALSE)*C127</f>
        <v>0</v>
      </c>
      <c r="F127" s="162">
        <f>+VLOOKUP(B127,$B$16:$I$26,8,FALSE)</f>
        <v>0.2</v>
      </c>
      <c r="G127" s="41">
        <f>IF(AND(E127&gt;1,F127&gt;0),D127-E127,IF(AND(E127&gt;1,F127=0),0,IF(AND(E127=0,F127&gt;=0),D127,0)))</f>
        <v>0</v>
      </c>
      <c r="J127" s="109"/>
      <c r="K127" s="1" t="s">
        <v>9</v>
      </c>
      <c r="O127" s="160"/>
      <c r="P127"/>
      <c r="Q127"/>
      <c r="R127"/>
      <c r="S127"/>
      <c r="T127"/>
      <c r="U127"/>
      <c r="V127"/>
      <c r="W127"/>
      <c r="X127"/>
      <c r="Y127"/>
    </row>
    <row r="128" spans="1:25" x14ac:dyDescent="0.35">
      <c r="B128" s="42" t="str">
        <f t="shared" ref="B128:B137" si="35">B33</f>
        <v>Outpatient</v>
      </c>
      <c r="C128" s="52">
        <f t="shared" ref="C128:C137" si="36">IF($K$127=$J$5,Y7,X7)</f>
        <v>0</v>
      </c>
      <c r="D128" s="41">
        <f t="shared" ref="D128:D137" si="37">+VLOOKUP($B$127:$B$137,$K$16:$L$26,2,FALSE)*C128</f>
        <v>0</v>
      </c>
      <c r="E128" s="161">
        <f t="shared" ref="E128:E137" si="38">+VLOOKUP(B128,$B$16:$I$26,7,FALSE)*C128</f>
        <v>0</v>
      </c>
      <c r="F128" s="162">
        <f t="shared" ref="F128:F137" si="39">+VLOOKUP(B128,$B$16:$I$26,8,FALSE)</f>
        <v>0.2</v>
      </c>
      <c r="G128" s="41">
        <f t="shared" ref="G128:G137" si="40">IF(AND(E128&gt;1,F128&gt;0),D128-E128,IF(AND(E128&gt;1,F128=0),0,IF(AND(E128=0,F128&gt;=0),D128,0)))</f>
        <v>0</v>
      </c>
      <c r="K128" s="8"/>
      <c r="L128" s="109"/>
      <c r="O128" s="160"/>
      <c r="P128"/>
      <c r="Q128"/>
      <c r="R128"/>
      <c r="S128"/>
      <c r="T128"/>
      <c r="U128"/>
      <c r="V128"/>
      <c r="W128"/>
      <c r="X128"/>
      <c r="Y128"/>
    </row>
    <row r="129" spans="2:25" x14ac:dyDescent="0.35">
      <c r="B129" s="42" t="str">
        <f t="shared" si="35"/>
        <v>Diagnostic Labs</v>
      </c>
      <c r="C129" s="52">
        <f t="shared" si="36"/>
        <v>0</v>
      </c>
      <c r="D129" s="41">
        <f t="shared" si="37"/>
        <v>0</v>
      </c>
      <c r="E129" s="161">
        <f t="shared" si="38"/>
        <v>0</v>
      </c>
      <c r="F129" s="162">
        <f t="shared" si="39"/>
        <v>0.2</v>
      </c>
      <c r="G129" s="41">
        <f t="shared" si="40"/>
        <v>0</v>
      </c>
      <c r="O129" s="160"/>
      <c r="P129"/>
      <c r="Q129"/>
      <c r="R129"/>
      <c r="S129"/>
      <c r="T129"/>
      <c r="U129"/>
      <c r="V129"/>
      <c r="W129"/>
      <c r="X129"/>
      <c r="Y129"/>
    </row>
    <row r="130" spans="2:25" x14ac:dyDescent="0.35">
      <c r="B130" s="43" t="str">
        <f t="shared" si="35"/>
        <v>Therapy</v>
      </c>
      <c r="C130" s="52">
        <f t="shared" si="36"/>
        <v>0</v>
      </c>
      <c r="D130" s="41">
        <f t="shared" si="37"/>
        <v>0</v>
      </c>
      <c r="E130" s="161">
        <f t="shared" si="38"/>
        <v>0</v>
      </c>
      <c r="F130" s="162">
        <f t="shared" si="39"/>
        <v>0</v>
      </c>
      <c r="G130" s="41">
        <f t="shared" si="40"/>
        <v>0</v>
      </c>
      <c r="O130" s="160"/>
      <c r="P130"/>
      <c r="Q130"/>
      <c r="R130"/>
      <c r="S130"/>
      <c r="T130"/>
      <c r="U130"/>
      <c r="V130"/>
      <c r="W130"/>
      <c r="X130"/>
      <c r="Y130"/>
    </row>
    <row r="131" spans="2:25" x14ac:dyDescent="0.35">
      <c r="B131" s="43" t="str">
        <f t="shared" si="35"/>
        <v>Emergency Room</v>
      </c>
      <c r="C131" s="52">
        <f t="shared" si="36"/>
        <v>0</v>
      </c>
      <c r="D131" s="41">
        <f t="shared" si="37"/>
        <v>0</v>
      </c>
      <c r="E131" s="161">
        <f>+VLOOKUP(B131,$B$16:$I$26,7,FALSE)*C131</f>
        <v>0</v>
      </c>
      <c r="F131" s="162">
        <f t="shared" si="39"/>
        <v>0</v>
      </c>
      <c r="G131" s="41">
        <f t="shared" si="40"/>
        <v>0</v>
      </c>
      <c r="O131" s="160"/>
      <c r="P131"/>
      <c r="Q131"/>
      <c r="R131"/>
      <c r="S131"/>
      <c r="T131"/>
      <c r="U131"/>
      <c r="V131"/>
      <c r="W131"/>
      <c r="X131"/>
      <c r="Y131"/>
    </row>
    <row r="132" spans="2:25" x14ac:dyDescent="0.35">
      <c r="B132" s="190" t="str">
        <f t="shared" si="35"/>
        <v>Urgent Care</v>
      </c>
      <c r="C132" s="52">
        <f t="shared" si="36"/>
        <v>0</v>
      </c>
      <c r="D132" s="41">
        <f t="shared" si="37"/>
        <v>0</v>
      </c>
      <c r="E132" s="161">
        <f t="shared" si="38"/>
        <v>0</v>
      </c>
      <c r="F132" s="162">
        <f t="shared" si="39"/>
        <v>0</v>
      </c>
      <c r="G132" s="41">
        <f t="shared" si="40"/>
        <v>0</v>
      </c>
      <c r="O132" s="160"/>
      <c r="P132"/>
      <c r="Q132"/>
      <c r="R132"/>
      <c r="S132"/>
      <c r="T132"/>
      <c r="U132"/>
      <c r="V132"/>
      <c r="W132"/>
      <c r="X132"/>
      <c r="Y132"/>
    </row>
    <row r="133" spans="2:25" x14ac:dyDescent="0.35">
      <c r="B133" s="43" t="str">
        <f t="shared" si="35"/>
        <v>Specialist</v>
      </c>
      <c r="C133" s="52">
        <f t="shared" si="36"/>
        <v>0</v>
      </c>
      <c r="D133" s="41">
        <f t="shared" si="37"/>
        <v>0</v>
      </c>
      <c r="E133" s="161">
        <f t="shared" si="38"/>
        <v>0</v>
      </c>
      <c r="F133" s="162">
        <f t="shared" si="39"/>
        <v>0</v>
      </c>
      <c r="G133" s="41">
        <f t="shared" si="40"/>
        <v>0</v>
      </c>
      <c r="O133" s="160"/>
      <c r="P133"/>
      <c r="Q133"/>
      <c r="R133"/>
      <c r="S133"/>
      <c r="T133"/>
      <c r="U133"/>
      <c r="V133"/>
      <c r="W133"/>
      <c r="X133"/>
      <c r="Y133"/>
    </row>
    <row r="134" spans="2:25" x14ac:dyDescent="0.35">
      <c r="B134" s="43" t="str">
        <f t="shared" si="35"/>
        <v>Primary Care</v>
      </c>
      <c r="C134" s="52">
        <f t="shared" si="36"/>
        <v>0</v>
      </c>
      <c r="D134" s="41">
        <f t="shared" si="37"/>
        <v>0</v>
      </c>
      <c r="E134" s="161">
        <f t="shared" si="38"/>
        <v>0</v>
      </c>
      <c r="F134" s="162">
        <f t="shared" si="39"/>
        <v>0</v>
      </c>
      <c r="G134" s="41">
        <f t="shared" si="40"/>
        <v>0</v>
      </c>
      <c r="O134" s="160"/>
      <c r="P134"/>
      <c r="Q134"/>
      <c r="R134"/>
      <c r="S134"/>
      <c r="T134"/>
      <c r="U134"/>
      <c r="V134"/>
      <c r="W134"/>
      <c r="X134"/>
      <c r="Y134"/>
    </row>
    <row r="135" spans="2:25" x14ac:dyDescent="0.35">
      <c r="B135" s="43" t="str">
        <f t="shared" si="35"/>
        <v>Rx Tier 1</v>
      </c>
      <c r="C135" s="52">
        <f t="shared" si="36"/>
        <v>0</v>
      </c>
      <c r="D135" s="41">
        <f t="shared" si="37"/>
        <v>0</v>
      </c>
      <c r="E135" s="161">
        <f t="shared" si="38"/>
        <v>0</v>
      </c>
      <c r="F135" s="162">
        <f t="shared" si="39"/>
        <v>0</v>
      </c>
      <c r="G135" s="41">
        <f t="shared" si="40"/>
        <v>0</v>
      </c>
      <c r="O135" s="160"/>
      <c r="P135"/>
      <c r="Q135"/>
      <c r="R135"/>
      <c r="S135"/>
      <c r="T135"/>
      <c r="U135"/>
      <c r="V135"/>
      <c r="W135"/>
      <c r="X135"/>
      <c r="Y135"/>
    </row>
    <row r="136" spans="2:25" x14ac:dyDescent="0.35">
      <c r="B136" s="43" t="str">
        <f t="shared" si="35"/>
        <v>Rx Tier 2</v>
      </c>
      <c r="C136" s="52">
        <f t="shared" si="36"/>
        <v>0</v>
      </c>
      <c r="D136" s="41">
        <f t="shared" si="37"/>
        <v>0</v>
      </c>
      <c r="E136" s="161">
        <f t="shared" si="38"/>
        <v>0</v>
      </c>
      <c r="F136" s="162">
        <f t="shared" si="39"/>
        <v>0</v>
      </c>
      <c r="G136" s="41">
        <f t="shared" si="40"/>
        <v>0</v>
      </c>
      <c r="O136" s="160"/>
      <c r="P136"/>
      <c r="Q136"/>
      <c r="R136"/>
      <c r="S136"/>
      <c r="T136"/>
      <c r="U136"/>
      <c r="V136"/>
      <c r="W136"/>
      <c r="X136"/>
      <c r="Y136"/>
    </row>
    <row r="137" spans="2:25" x14ac:dyDescent="0.35">
      <c r="B137" s="44" t="str">
        <f t="shared" si="35"/>
        <v>Rx Tier 3</v>
      </c>
      <c r="C137" s="9">
        <f t="shared" si="36"/>
        <v>0</v>
      </c>
      <c r="D137" s="45">
        <f t="shared" si="37"/>
        <v>0</v>
      </c>
      <c r="E137" s="46">
        <f t="shared" si="38"/>
        <v>0</v>
      </c>
      <c r="F137" s="47">
        <f t="shared" si="39"/>
        <v>0</v>
      </c>
      <c r="G137" s="45">
        <f t="shared" si="40"/>
        <v>0</v>
      </c>
      <c r="O137" s="160"/>
      <c r="P137"/>
      <c r="Q137"/>
      <c r="R137"/>
      <c r="S137"/>
      <c r="T137"/>
      <c r="U137"/>
      <c r="V137"/>
      <c r="W137"/>
      <c r="X137"/>
      <c r="Y137"/>
    </row>
    <row r="138" spans="2:25" x14ac:dyDescent="0.35">
      <c r="B138" s="163"/>
      <c r="C138" s="52"/>
      <c r="D138" s="164" t="s">
        <v>25</v>
      </c>
      <c r="E138" s="161">
        <f>+IF($E$6=$K$6,SUM(E127:E134),SUM(E127:E137))</f>
        <v>0</v>
      </c>
      <c r="F138" s="162">
        <f>$H$15</f>
        <v>0.2</v>
      </c>
      <c r="G138" s="41">
        <f>SUM(G127:G137)</f>
        <v>0</v>
      </c>
      <c r="H138" s="161">
        <f>IF((SUM($G$127:$G$137)-(IF($E$2=$S$24,$H$10,$H$11)))&gt;0,F138*(SUM($G$127:$G$137)-(IF($E$2=$S$24,$H$10,$H$11))),0)</f>
        <v>0</v>
      </c>
      <c r="I138" s="161"/>
      <c r="O138" s="160"/>
      <c r="P138"/>
      <c r="Q138"/>
      <c r="R138"/>
      <c r="S138"/>
      <c r="T138"/>
      <c r="U138"/>
      <c r="V138"/>
      <c r="W138"/>
      <c r="X138"/>
      <c r="Y138"/>
    </row>
    <row r="139" spans="2:25" x14ac:dyDescent="0.35">
      <c r="B139" s="157"/>
      <c r="D139" s="56" t="s">
        <v>40</v>
      </c>
      <c r="E139" s="161"/>
      <c r="O139" s="160"/>
      <c r="P139"/>
      <c r="Q139"/>
      <c r="R139"/>
      <c r="S139"/>
      <c r="T139"/>
      <c r="U139"/>
      <c r="V139"/>
      <c r="W139"/>
      <c r="X139"/>
      <c r="Y139"/>
    </row>
    <row r="140" spans="2:25" x14ac:dyDescent="0.35">
      <c r="B140" s="157"/>
      <c r="E140" s="1"/>
      <c r="O140" s="160"/>
      <c r="P140"/>
      <c r="Q140"/>
      <c r="R140"/>
      <c r="S140"/>
      <c r="T140"/>
      <c r="U140"/>
      <c r="V140"/>
      <c r="W140"/>
      <c r="X140"/>
      <c r="Y140"/>
    </row>
    <row r="141" spans="2:25" x14ac:dyDescent="0.35">
      <c r="B141" s="157"/>
      <c r="E141" s="1" t="str">
        <f>B126</f>
        <v>Sub</v>
      </c>
      <c r="O141" s="160"/>
      <c r="P141"/>
      <c r="Q141"/>
      <c r="R141"/>
      <c r="S141"/>
      <c r="T141"/>
      <c r="U141"/>
      <c r="V141"/>
      <c r="W141"/>
      <c r="X141"/>
      <c r="Y141"/>
    </row>
    <row r="142" spans="2:25" x14ac:dyDescent="0.35">
      <c r="B142" s="165" t="s">
        <v>26</v>
      </c>
      <c r="C142" s="8">
        <f>IF($E$2=$S$24,IF(G138&gt;L142,L142,G138),IF(G138&gt;M142,M142,G138))</f>
        <v>0</v>
      </c>
      <c r="D142" s="56" t="s">
        <v>26</v>
      </c>
      <c r="E142" s="8">
        <f>C142</f>
        <v>0</v>
      </c>
      <c r="G142" s="166" t="s">
        <v>33</v>
      </c>
      <c r="K142" s="1" t="s">
        <v>23</v>
      </c>
      <c r="L142" s="41">
        <f>H10</f>
        <v>1400</v>
      </c>
      <c r="M142" s="41">
        <f>H11</f>
        <v>2800</v>
      </c>
      <c r="O142" s="160"/>
      <c r="P142"/>
      <c r="Q142"/>
      <c r="R142"/>
      <c r="S142"/>
      <c r="T142"/>
      <c r="U142"/>
      <c r="V142"/>
      <c r="W142"/>
      <c r="X142"/>
      <c r="Y142"/>
    </row>
    <row r="143" spans="2:25" x14ac:dyDescent="0.35">
      <c r="B143" s="165" t="s">
        <v>22</v>
      </c>
      <c r="C143" s="8">
        <f>H138</f>
        <v>0</v>
      </c>
      <c r="D143" s="56" t="s">
        <v>27</v>
      </c>
      <c r="E143" s="8">
        <f>IF($E$2=$S$24,IF($C145&gt;$L144,$L144,$C145),IF($C145&gt;$M144,$M144,$C145))</f>
        <v>0</v>
      </c>
      <c r="G143" s="167">
        <f>IF($E$2=$S$24,E142,E142+E165)</f>
        <v>0</v>
      </c>
      <c r="K143" s="1" t="s">
        <v>277</v>
      </c>
      <c r="L143" s="41">
        <f>H13</f>
        <v>4600</v>
      </c>
      <c r="M143" s="41">
        <f>H14</f>
        <v>9200</v>
      </c>
      <c r="O143" s="160"/>
      <c r="P143"/>
      <c r="Q143"/>
      <c r="R143"/>
      <c r="S143"/>
      <c r="T143"/>
      <c r="U143"/>
      <c r="V143"/>
      <c r="W143"/>
      <c r="X143"/>
      <c r="Y143"/>
    </row>
    <row r="144" spans="2:25" x14ac:dyDescent="0.35">
      <c r="B144" s="168" t="str">
        <f>D138</f>
        <v>copays that count towards plan OOP max</v>
      </c>
      <c r="C144" s="6">
        <f>E138</f>
        <v>0</v>
      </c>
      <c r="D144" s="49"/>
      <c r="E144" s="6"/>
      <c r="G144" s="167">
        <f>IF($E$2=$S$24,E143,E143+E166)</f>
        <v>0</v>
      </c>
      <c r="L144" s="41">
        <f>L143-L142</f>
        <v>3200</v>
      </c>
      <c r="M144" s="41">
        <f>M143-M142</f>
        <v>6400</v>
      </c>
      <c r="O144" s="160"/>
      <c r="P144"/>
      <c r="Q144"/>
      <c r="R144"/>
      <c r="S144"/>
      <c r="T144"/>
      <c r="U144"/>
      <c r="V144"/>
      <c r="W144"/>
      <c r="X144"/>
      <c r="Y144"/>
    </row>
    <row r="145" spans="2:25" x14ac:dyDescent="0.35">
      <c r="B145" s="165" t="s">
        <v>29</v>
      </c>
      <c r="C145" s="8">
        <f>C144+C143</f>
        <v>0</v>
      </c>
      <c r="D145" s="56" t="s">
        <v>28</v>
      </c>
      <c r="E145" s="8">
        <f>SUM(E142:E143)</f>
        <v>0</v>
      </c>
      <c r="G145" s="50"/>
      <c r="O145" s="160"/>
      <c r="P145"/>
      <c r="Q145"/>
      <c r="R145"/>
      <c r="S145"/>
      <c r="T145"/>
      <c r="U145"/>
      <c r="V145"/>
      <c r="W145"/>
      <c r="X145"/>
      <c r="Y145"/>
    </row>
    <row r="146" spans="2:25" x14ac:dyDescent="0.35">
      <c r="B146" s="165"/>
      <c r="C146" s="8"/>
      <c r="E146" s="1"/>
      <c r="G146" s="167">
        <f>SUM(G143:G145)</f>
        <v>0</v>
      </c>
      <c r="O146" s="160"/>
      <c r="P146"/>
      <c r="Q146"/>
      <c r="R146"/>
      <c r="S146"/>
      <c r="T146"/>
      <c r="U146"/>
      <c r="V146"/>
      <c r="W146"/>
      <c r="X146"/>
      <c r="Y146"/>
    </row>
    <row r="147" spans="2:25" x14ac:dyDescent="0.35">
      <c r="B147" s="157"/>
      <c r="E147" s="1"/>
      <c r="O147" s="160"/>
      <c r="P147"/>
      <c r="Q147"/>
      <c r="R147"/>
      <c r="S147"/>
      <c r="T147"/>
      <c r="U147"/>
      <c r="V147"/>
      <c r="W147"/>
      <c r="X147"/>
      <c r="Y147"/>
    </row>
    <row r="148" spans="2:25" x14ac:dyDescent="0.35">
      <c r="B148" s="157"/>
      <c r="E148" s="1"/>
      <c r="O148" s="160"/>
      <c r="P148"/>
      <c r="Q148"/>
      <c r="R148"/>
      <c r="S148"/>
      <c r="T148"/>
      <c r="U148"/>
      <c r="V148"/>
      <c r="W148"/>
      <c r="X148"/>
      <c r="Y148"/>
    </row>
    <row r="149" spans="2:25" x14ac:dyDescent="0.35">
      <c r="B149" s="159" t="s">
        <v>34</v>
      </c>
      <c r="C149" s="38"/>
      <c r="D149" s="39" t="s">
        <v>21</v>
      </c>
      <c r="E149" s="39" t="s">
        <v>20</v>
      </c>
      <c r="F149" s="39" t="s">
        <v>22</v>
      </c>
      <c r="G149" s="38" t="s">
        <v>23</v>
      </c>
      <c r="H149" s="39" t="s">
        <v>24</v>
      </c>
      <c r="I149" s="152"/>
      <c r="O149" s="160"/>
      <c r="P149"/>
      <c r="Q149"/>
      <c r="R149"/>
      <c r="S149"/>
      <c r="T149"/>
      <c r="U149"/>
      <c r="V149"/>
      <c r="W149"/>
      <c r="X149"/>
      <c r="Y149"/>
    </row>
    <row r="150" spans="2:25" x14ac:dyDescent="0.35">
      <c r="B150" s="40" t="str">
        <f t="shared" ref="B150:B160" si="41">B127</f>
        <v>Inpatient Hospital</v>
      </c>
      <c r="C150" s="51">
        <f>IF($K$127=$J$5,Z6,0)</f>
        <v>0</v>
      </c>
      <c r="D150" s="41">
        <f>+VLOOKUP($B$150:$B$160,$K$16:$L$26,2,FALSE)*C150</f>
        <v>0</v>
      </c>
      <c r="E150" s="161">
        <f>+VLOOKUP(B150,$B$16:$I$26,7,FALSE)*C150</f>
        <v>0</v>
      </c>
      <c r="F150" s="162">
        <f>+VLOOKUP(B150,$B$16:$I$26,8,FALSE)</f>
        <v>0.2</v>
      </c>
      <c r="G150" s="41">
        <f>IF(AND(E150&gt;1,F150&gt;0),D150-E150,IF(AND(E150&gt;1,F150=0),0,IF(AND(E150=0,F150&gt;=0),D150,0)))</f>
        <v>0</v>
      </c>
      <c r="O150" s="160"/>
      <c r="P150"/>
      <c r="Q150"/>
      <c r="R150"/>
      <c r="S150"/>
      <c r="T150"/>
      <c r="U150"/>
      <c r="V150"/>
      <c r="W150"/>
      <c r="X150"/>
      <c r="Y150"/>
    </row>
    <row r="151" spans="2:25" x14ac:dyDescent="0.35">
      <c r="B151" s="42" t="str">
        <f t="shared" si="41"/>
        <v>Outpatient</v>
      </c>
      <c r="C151" s="52">
        <f t="shared" ref="C151:C160" si="42">IF($K$127=$J$5,Z7,0)</f>
        <v>0</v>
      </c>
      <c r="D151" s="41">
        <f t="shared" ref="D151:D160" si="43">+VLOOKUP($B$150:$B$160,$K$16:$L$26,2,FALSE)*C151</f>
        <v>0</v>
      </c>
      <c r="E151" s="161">
        <f t="shared" ref="E151:E160" si="44">+VLOOKUP(B151,$B$16:$I$26,7,FALSE)*C151</f>
        <v>0</v>
      </c>
      <c r="F151" s="162">
        <f t="shared" ref="F151:F160" si="45">+VLOOKUP(B151,$B$16:$I$26,8,FALSE)</f>
        <v>0.2</v>
      </c>
      <c r="G151" s="41">
        <f t="shared" ref="G151:G160" si="46">IF(AND(E151&gt;1,F151&gt;0),D151-E151,IF(AND(E151&gt;1,F151=0),0,IF(AND(E151=0,F151&gt;=0),D151,0)))</f>
        <v>0</v>
      </c>
      <c r="O151" s="160"/>
      <c r="P151"/>
      <c r="Q151"/>
      <c r="R151"/>
      <c r="S151"/>
      <c r="T151"/>
      <c r="U151"/>
      <c r="V151"/>
      <c r="W151"/>
      <c r="X151"/>
      <c r="Y151"/>
    </row>
    <row r="152" spans="2:25" x14ac:dyDescent="0.35">
      <c r="B152" s="42" t="str">
        <f t="shared" si="41"/>
        <v>Diagnostic Labs</v>
      </c>
      <c r="C152" s="52">
        <f t="shared" si="42"/>
        <v>0</v>
      </c>
      <c r="D152" s="41">
        <f t="shared" si="43"/>
        <v>0</v>
      </c>
      <c r="E152" s="161">
        <f t="shared" si="44"/>
        <v>0</v>
      </c>
      <c r="F152" s="162">
        <f t="shared" si="45"/>
        <v>0.2</v>
      </c>
      <c r="G152" s="41">
        <f t="shared" si="46"/>
        <v>0</v>
      </c>
      <c r="O152" s="160"/>
      <c r="P152"/>
      <c r="Q152"/>
      <c r="R152"/>
      <c r="S152"/>
      <c r="T152"/>
      <c r="U152"/>
      <c r="V152"/>
      <c r="W152"/>
      <c r="X152"/>
      <c r="Y152"/>
    </row>
    <row r="153" spans="2:25" x14ac:dyDescent="0.35">
      <c r="B153" s="43" t="str">
        <f t="shared" si="41"/>
        <v>Therapy</v>
      </c>
      <c r="C153" s="52">
        <f t="shared" si="42"/>
        <v>0</v>
      </c>
      <c r="D153" s="41">
        <f t="shared" si="43"/>
        <v>0</v>
      </c>
      <c r="E153" s="161">
        <f t="shared" si="44"/>
        <v>0</v>
      </c>
      <c r="F153" s="162">
        <f t="shared" si="45"/>
        <v>0</v>
      </c>
      <c r="G153" s="41">
        <f t="shared" si="46"/>
        <v>0</v>
      </c>
      <c r="O153" s="160"/>
      <c r="P153"/>
      <c r="Q153"/>
      <c r="R153"/>
      <c r="S153"/>
      <c r="T153"/>
      <c r="U153"/>
      <c r="V153"/>
      <c r="W153"/>
      <c r="X153"/>
      <c r="Y153"/>
    </row>
    <row r="154" spans="2:25" x14ac:dyDescent="0.35">
      <c r="B154" s="43" t="str">
        <f t="shared" si="41"/>
        <v>Emergency Room</v>
      </c>
      <c r="C154" s="52">
        <f t="shared" si="42"/>
        <v>0</v>
      </c>
      <c r="D154" s="41">
        <f t="shared" si="43"/>
        <v>0</v>
      </c>
      <c r="E154" s="161">
        <f t="shared" si="44"/>
        <v>0</v>
      </c>
      <c r="F154" s="162">
        <f t="shared" si="45"/>
        <v>0</v>
      </c>
      <c r="G154" s="41">
        <f t="shared" si="46"/>
        <v>0</v>
      </c>
      <c r="O154" s="160"/>
      <c r="P154"/>
      <c r="Q154"/>
      <c r="R154"/>
      <c r="S154"/>
      <c r="T154"/>
      <c r="U154"/>
      <c r="V154"/>
      <c r="W154"/>
      <c r="X154"/>
      <c r="Y154"/>
    </row>
    <row r="155" spans="2:25" x14ac:dyDescent="0.35">
      <c r="B155" s="190" t="str">
        <f t="shared" si="41"/>
        <v>Urgent Care</v>
      </c>
      <c r="C155" s="52">
        <f t="shared" si="42"/>
        <v>0</v>
      </c>
      <c r="D155" s="41">
        <f t="shared" si="43"/>
        <v>0</v>
      </c>
      <c r="E155" s="161">
        <f t="shared" si="44"/>
        <v>0</v>
      </c>
      <c r="F155" s="162">
        <f t="shared" si="45"/>
        <v>0</v>
      </c>
      <c r="G155" s="41">
        <f t="shared" si="46"/>
        <v>0</v>
      </c>
      <c r="O155" s="160"/>
      <c r="P155"/>
      <c r="Q155"/>
      <c r="R155"/>
      <c r="S155"/>
      <c r="T155"/>
      <c r="U155"/>
      <c r="V155"/>
      <c r="W155"/>
      <c r="X155"/>
      <c r="Y155"/>
    </row>
    <row r="156" spans="2:25" x14ac:dyDescent="0.35">
      <c r="B156" s="43" t="str">
        <f t="shared" si="41"/>
        <v>Specialist</v>
      </c>
      <c r="C156" s="52">
        <f t="shared" si="42"/>
        <v>0</v>
      </c>
      <c r="D156" s="41">
        <f t="shared" si="43"/>
        <v>0</v>
      </c>
      <c r="E156" s="161">
        <f t="shared" si="44"/>
        <v>0</v>
      </c>
      <c r="F156" s="162">
        <f t="shared" si="45"/>
        <v>0</v>
      </c>
      <c r="G156" s="41">
        <f t="shared" si="46"/>
        <v>0</v>
      </c>
      <c r="O156" s="160"/>
      <c r="P156"/>
      <c r="Q156"/>
      <c r="R156"/>
      <c r="S156"/>
      <c r="T156"/>
      <c r="U156"/>
      <c r="V156"/>
      <c r="W156"/>
      <c r="X156"/>
      <c r="Y156"/>
    </row>
    <row r="157" spans="2:25" x14ac:dyDescent="0.35">
      <c r="B157" s="43" t="str">
        <f t="shared" si="41"/>
        <v>Primary Care</v>
      </c>
      <c r="C157" s="52">
        <f t="shared" si="42"/>
        <v>0</v>
      </c>
      <c r="D157" s="41">
        <f t="shared" si="43"/>
        <v>0</v>
      </c>
      <c r="E157" s="161">
        <f t="shared" si="44"/>
        <v>0</v>
      </c>
      <c r="F157" s="162">
        <f t="shared" si="45"/>
        <v>0</v>
      </c>
      <c r="G157" s="41">
        <f t="shared" si="46"/>
        <v>0</v>
      </c>
      <c r="O157" s="160"/>
      <c r="P157"/>
      <c r="Q157"/>
      <c r="R157"/>
      <c r="S157"/>
      <c r="T157"/>
      <c r="U157"/>
      <c r="V157"/>
      <c r="W157"/>
      <c r="X157"/>
      <c r="Y157"/>
    </row>
    <row r="158" spans="2:25" x14ac:dyDescent="0.35">
      <c r="B158" s="43" t="str">
        <f t="shared" si="41"/>
        <v>Rx Tier 1</v>
      </c>
      <c r="C158" s="52">
        <f t="shared" si="42"/>
        <v>0</v>
      </c>
      <c r="D158" s="41">
        <f t="shared" si="43"/>
        <v>0</v>
      </c>
      <c r="E158" s="161">
        <f t="shared" si="44"/>
        <v>0</v>
      </c>
      <c r="F158" s="162">
        <f t="shared" si="45"/>
        <v>0</v>
      </c>
      <c r="G158" s="41">
        <f t="shared" si="46"/>
        <v>0</v>
      </c>
      <c r="O158" s="160"/>
      <c r="P158"/>
      <c r="Q158"/>
      <c r="R158"/>
      <c r="S158"/>
      <c r="T158"/>
      <c r="U158"/>
      <c r="V158"/>
      <c r="W158"/>
      <c r="X158"/>
      <c r="Y158"/>
    </row>
    <row r="159" spans="2:25" x14ac:dyDescent="0.35">
      <c r="B159" s="43" t="str">
        <f t="shared" si="41"/>
        <v>Rx Tier 2</v>
      </c>
      <c r="C159" s="52">
        <f t="shared" si="42"/>
        <v>0</v>
      </c>
      <c r="D159" s="41">
        <f t="shared" si="43"/>
        <v>0</v>
      </c>
      <c r="E159" s="161">
        <f t="shared" si="44"/>
        <v>0</v>
      </c>
      <c r="F159" s="162">
        <f t="shared" si="45"/>
        <v>0</v>
      </c>
      <c r="G159" s="41">
        <f t="shared" si="46"/>
        <v>0</v>
      </c>
      <c r="O159" s="160"/>
      <c r="P159"/>
      <c r="Q159"/>
      <c r="R159"/>
      <c r="S159"/>
      <c r="T159"/>
      <c r="U159"/>
      <c r="V159"/>
      <c r="W159"/>
      <c r="X159"/>
      <c r="Y159"/>
    </row>
    <row r="160" spans="2:25" x14ac:dyDescent="0.35">
      <c r="B160" s="44" t="str">
        <f t="shared" si="41"/>
        <v>Rx Tier 3</v>
      </c>
      <c r="C160" s="9">
        <f t="shared" si="42"/>
        <v>0</v>
      </c>
      <c r="D160" s="45">
        <f t="shared" si="43"/>
        <v>0</v>
      </c>
      <c r="E160" s="46">
        <f t="shared" si="44"/>
        <v>0</v>
      </c>
      <c r="F160" s="47">
        <f t="shared" si="45"/>
        <v>0</v>
      </c>
      <c r="G160" s="45">
        <f t="shared" si="46"/>
        <v>0</v>
      </c>
      <c r="O160" s="160"/>
      <c r="P160"/>
      <c r="Q160"/>
      <c r="R160"/>
      <c r="S160"/>
      <c r="T160"/>
      <c r="U160"/>
      <c r="V160"/>
      <c r="W160"/>
      <c r="X160"/>
      <c r="Y160"/>
    </row>
    <row r="161" spans="2:25" x14ac:dyDescent="0.35">
      <c r="B161" s="163"/>
      <c r="C161" s="52"/>
      <c r="D161" s="164" t="s">
        <v>25</v>
      </c>
      <c r="E161" s="161">
        <f>+IF($E$6=$K$6,SUM(E150:E157),SUM(E150:E160))</f>
        <v>0</v>
      </c>
      <c r="F161" s="162">
        <f>$H$15</f>
        <v>0.2</v>
      </c>
      <c r="G161" s="41">
        <f>IF(SUM(G150:G160)&gt;$H$10,$H$10,SUM(G150:G160))</f>
        <v>0</v>
      </c>
      <c r="H161" s="161">
        <f>IF(SUM($G$150:$G$160)-$H$10&gt;0,F161*(SUM($G$150:$G$160)-$H$10),0)</f>
        <v>0</v>
      </c>
      <c r="I161" s="161"/>
      <c r="O161" s="160"/>
      <c r="P161"/>
      <c r="Q161"/>
      <c r="R161"/>
      <c r="S161"/>
      <c r="T161"/>
      <c r="U161"/>
      <c r="V161"/>
      <c r="W161"/>
      <c r="X161"/>
      <c r="Y161"/>
    </row>
    <row r="162" spans="2:25" x14ac:dyDescent="0.35">
      <c r="B162" s="157"/>
      <c r="D162" s="56" t="s">
        <v>40</v>
      </c>
      <c r="E162" s="161"/>
      <c r="O162" s="160"/>
      <c r="P162"/>
      <c r="Q162"/>
      <c r="R162"/>
      <c r="S162"/>
      <c r="T162"/>
      <c r="U162"/>
      <c r="V162"/>
      <c r="W162"/>
      <c r="X162"/>
      <c r="Y162"/>
    </row>
    <row r="163" spans="2:25" x14ac:dyDescent="0.35">
      <c r="B163" s="157"/>
      <c r="E163" s="1"/>
      <c r="O163" s="160"/>
      <c r="P163"/>
      <c r="Q163"/>
      <c r="R163"/>
      <c r="S163"/>
      <c r="T163"/>
      <c r="U163"/>
      <c r="V163"/>
      <c r="W163"/>
      <c r="X163"/>
      <c r="Y163"/>
    </row>
    <row r="164" spans="2:25" x14ac:dyDescent="0.35">
      <c r="B164" s="157"/>
      <c r="E164" s="56" t="str">
        <f>B149</f>
        <v>D1</v>
      </c>
      <c r="O164" s="160"/>
      <c r="P164"/>
      <c r="Q164"/>
      <c r="R164"/>
      <c r="S164"/>
      <c r="T164"/>
      <c r="U164"/>
      <c r="V164"/>
      <c r="W164"/>
      <c r="X164"/>
      <c r="Y164"/>
    </row>
    <row r="165" spans="2:25" x14ac:dyDescent="0.35">
      <c r="B165" s="165" t="s">
        <v>26</v>
      </c>
      <c r="C165" s="8">
        <f>G161</f>
        <v>0</v>
      </c>
      <c r="D165" s="56" t="s">
        <v>26</v>
      </c>
      <c r="E165" s="8">
        <f>C165</f>
        <v>0</v>
      </c>
      <c r="O165" s="160"/>
      <c r="P165"/>
      <c r="Q165"/>
      <c r="R165"/>
      <c r="S165"/>
      <c r="T165"/>
      <c r="U165"/>
      <c r="V165"/>
      <c r="W165"/>
      <c r="X165"/>
      <c r="Y165"/>
    </row>
    <row r="166" spans="2:25" x14ac:dyDescent="0.35">
      <c r="B166" s="165" t="s">
        <v>22</v>
      </c>
      <c r="C166" s="8">
        <f>H161</f>
        <v>0</v>
      </c>
      <c r="D166" s="56" t="s">
        <v>27</v>
      </c>
      <c r="E166" s="8">
        <f>IF(C168&gt;$H$13-E165,$H$13-E165,C168)</f>
        <v>0</v>
      </c>
      <c r="O166" s="160"/>
    </row>
    <row r="167" spans="2:25" ht="15" customHeight="1" x14ac:dyDescent="0.35">
      <c r="B167" s="168" t="str">
        <f>D161</f>
        <v>copays that count towards plan OOP max</v>
      </c>
      <c r="C167" s="6">
        <f>E161</f>
        <v>0</v>
      </c>
      <c r="D167" s="49"/>
      <c r="E167" s="6"/>
      <c r="O167" s="160"/>
    </row>
    <row r="168" spans="2:25" x14ac:dyDescent="0.35">
      <c r="B168" s="165" t="s">
        <v>29</v>
      </c>
      <c r="C168" s="8">
        <f>C167+C166</f>
        <v>0</v>
      </c>
      <c r="D168" s="56" t="s">
        <v>28</v>
      </c>
      <c r="E168" s="8">
        <f>SUM(E165:E167)</f>
        <v>0</v>
      </c>
      <c r="O168" s="160"/>
      <c r="W168" s="108"/>
    </row>
    <row r="169" spans="2:25" x14ac:dyDescent="0.35">
      <c r="B169" s="165"/>
      <c r="C169" s="8"/>
      <c r="E169" s="1"/>
      <c r="O169" s="160"/>
      <c r="W169" s="108"/>
    </row>
    <row r="170" spans="2:25" x14ac:dyDescent="0.35">
      <c r="B170" s="175"/>
      <c r="C170" s="170"/>
      <c r="D170" s="170"/>
      <c r="E170" s="176"/>
      <c r="F170" s="170"/>
      <c r="G170" s="170"/>
      <c r="H170" s="170"/>
      <c r="I170" s="170"/>
      <c r="J170" s="170"/>
      <c r="K170" s="170"/>
      <c r="L170" s="170"/>
      <c r="M170" s="170"/>
      <c r="N170" s="170"/>
      <c r="O170" s="171"/>
    </row>
  </sheetData>
  <mergeCells count="33">
    <mergeCell ref="D11:E11"/>
    <mergeCell ref="H13:I13"/>
    <mergeCell ref="H14:I14"/>
    <mergeCell ref="H11:I11"/>
    <mergeCell ref="H12:I12"/>
    <mergeCell ref="D13:E13"/>
    <mergeCell ref="F12:G12"/>
    <mergeCell ref="F13:G13"/>
    <mergeCell ref="F11:G11"/>
    <mergeCell ref="H8:I8"/>
    <mergeCell ref="H9:I9"/>
    <mergeCell ref="H10:I10"/>
    <mergeCell ref="L6:M6"/>
    <mergeCell ref="B9:C9"/>
    <mergeCell ref="D10:E10"/>
    <mergeCell ref="F5:H6"/>
    <mergeCell ref="D8:E8"/>
    <mergeCell ref="F8:G8"/>
    <mergeCell ref="D9:E9"/>
    <mergeCell ref="F9:G9"/>
    <mergeCell ref="F10:G10"/>
    <mergeCell ref="W49:Z49"/>
    <mergeCell ref="D124:G124"/>
    <mergeCell ref="D29:G29"/>
    <mergeCell ref="D12:E12"/>
    <mergeCell ref="D15:E15"/>
    <mergeCell ref="D14:E14"/>
    <mergeCell ref="X28:Z28"/>
    <mergeCell ref="X34:Z34"/>
    <mergeCell ref="H15:I15"/>
    <mergeCell ref="F14:G14"/>
    <mergeCell ref="F15:G15"/>
    <mergeCell ref="M28:N28"/>
  </mergeCells>
  <conditionalFormatting sqref="D16:I26">
    <cfRule type="cellIs" dxfId="10" priority="1" stopIfTrue="1" operator="equal">
      <formula>0</formula>
    </cfRule>
  </conditionalFormatting>
  <conditionalFormatting sqref="P16:P26">
    <cfRule type="expression" dxfId="9" priority="12" stopIfTrue="1">
      <formula>Q16&lt;&gt;"-"</formula>
    </cfRule>
  </conditionalFormatting>
  <conditionalFormatting sqref="P15:Q26">
    <cfRule type="expression" dxfId="8" priority="9" stopIfTrue="1">
      <formula>$F$27=0</formula>
    </cfRule>
  </conditionalFormatting>
  <conditionalFormatting sqref="Q16:Q26">
    <cfRule type="cellIs" dxfId="7" priority="11" stopIfTrue="1" operator="notEqual">
      <formula>"-"</formula>
    </cfRule>
  </conditionalFormatting>
  <dataValidations disablePrompts="1" count="2">
    <dataValidation type="list" allowBlank="1" showInputMessage="1" showErrorMessage="1" sqref="E5" xr:uid="{00000000-0002-0000-0000-000000000000}">
      <formula1>$J$5:$J$6</formula1>
    </dataValidation>
    <dataValidation type="list" allowBlank="1" showInputMessage="1" showErrorMessage="1" sqref="E6 E3" xr:uid="{00000000-0002-0000-0000-000001000000}">
      <formula1>$K$5:$K$6</formula1>
    </dataValidation>
  </dataValidations>
  <pageMargins left="0.7" right="0.7" top="0.75" bottom="0.75" header="0.3" footer="0.3"/>
  <pageSetup orientation="portrait" verticalDpi="120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X63"/>
  <sheetViews>
    <sheetView zoomScale="90" zoomScaleNormal="90" workbookViewId="0">
      <selection activeCell="C56" sqref="C56"/>
    </sheetView>
  </sheetViews>
  <sheetFormatPr defaultColWidth="9.08984375" defaultRowHeight="14.5" x14ac:dyDescent="0.35"/>
  <cols>
    <col min="1" max="1" width="10.08984375" style="202" customWidth="1"/>
    <col min="2" max="16384" width="9.08984375" style="1"/>
  </cols>
  <sheetData>
    <row r="1" spans="1:24" ht="28.5" x14ac:dyDescent="0.65">
      <c r="A1" s="200" t="s">
        <v>298</v>
      </c>
    </row>
    <row r="2" spans="1:24" ht="26" x14ac:dyDescent="0.6">
      <c r="A2" s="201" t="s">
        <v>291</v>
      </c>
    </row>
    <row r="3" spans="1:24" x14ac:dyDescent="0.35">
      <c r="A3" s="1"/>
      <c r="T3" s="146"/>
      <c r="X3" s="146"/>
    </row>
    <row r="4" spans="1:24" ht="18" customHeight="1" x14ac:dyDescent="0.35">
      <c r="A4" s="270" t="s">
        <v>292</v>
      </c>
      <c r="B4" s="270"/>
      <c r="C4" s="270"/>
      <c r="D4" s="270"/>
      <c r="E4" s="270"/>
      <c r="F4" s="270"/>
      <c r="G4" s="270"/>
      <c r="H4" s="270"/>
      <c r="I4" s="270"/>
      <c r="J4" s="270"/>
      <c r="K4" s="270"/>
      <c r="L4" s="270"/>
    </row>
    <row r="5" spans="1:24" ht="18" customHeight="1" x14ac:dyDescent="0.35">
      <c r="A5" s="270"/>
      <c r="B5" s="270"/>
      <c r="C5" s="270"/>
      <c r="D5" s="270"/>
      <c r="E5" s="270"/>
      <c r="F5" s="270"/>
      <c r="G5" s="270"/>
      <c r="H5" s="270"/>
      <c r="I5" s="270"/>
      <c r="J5" s="270"/>
      <c r="K5" s="270"/>
      <c r="L5" s="270"/>
    </row>
    <row r="6" spans="1:24" ht="18" customHeight="1" x14ac:dyDescent="0.35">
      <c r="A6" s="270"/>
      <c r="B6" s="270"/>
      <c r="C6" s="270"/>
      <c r="D6" s="270"/>
      <c r="E6" s="270"/>
      <c r="F6" s="270"/>
      <c r="G6" s="270"/>
      <c r="H6" s="270"/>
      <c r="I6" s="270"/>
      <c r="J6" s="270"/>
      <c r="K6" s="270"/>
      <c r="L6" s="270"/>
    </row>
    <row r="7" spans="1:24" ht="18" customHeight="1" x14ac:dyDescent="0.35">
      <c r="A7" s="270"/>
      <c r="B7" s="270"/>
      <c r="C7" s="270"/>
      <c r="D7" s="270"/>
      <c r="E7" s="270"/>
      <c r="F7" s="270"/>
      <c r="G7" s="270"/>
      <c r="H7" s="270"/>
      <c r="I7" s="270"/>
      <c r="J7" s="270"/>
      <c r="K7" s="270"/>
      <c r="L7" s="270"/>
    </row>
    <row r="8" spans="1:24" ht="18" customHeight="1" x14ac:dyDescent="0.35">
      <c r="A8" s="270"/>
      <c r="B8" s="270"/>
      <c r="C8" s="270"/>
      <c r="D8" s="270"/>
      <c r="E8" s="270"/>
      <c r="F8" s="270"/>
      <c r="G8" s="270"/>
      <c r="H8" s="270"/>
      <c r="I8" s="270"/>
      <c r="J8" s="270"/>
      <c r="K8" s="270"/>
      <c r="L8" s="270"/>
    </row>
    <row r="9" spans="1:24" ht="18" customHeight="1" x14ac:dyDescent="0.35">
      <c r="A9" s="270"/>
      <c r="B9" s="270"/>
      <c r="C9" s="270"/>
      <c r="D9" s="270"/>
      <c r="E9" s="270"/>
      <c r="F9" s="270"/>
      <c r="G9" s="270"/>
      <c r="H9" s="270"/>
      <c r="I9" s="270"/>
      <c r="J9" s="270"/>
      <c r="K9" s="270"/>
      <c r="L9" s="270"/>
    </row>
    <row r="10" spans="1:24" ht="15.5" x14ac:dyDescent="0.35">
      <c r="B10" s="203"/>
    </row>
    <row r="11" spans="1:24" ht="15.5" x14ac:dyDescent="0.35">
      <c r="B11" s="203"/>
    </row>
    <row r="12" spans="1:24" ht="26" x14ac:dyDescent="0.6">
      <c r="A12" s="201" t="s">
        <v>293</v>
      </c>
      <c r="L12"/>
      <c r="M12"/>
      <c r="N12"/>
      <c r="O12"/>
      <c r="P12"/>
    </row>
    <row r="13" spans="1:24" ht="15.5" x14ac:dyDescent="0.35">
      <c r="B13" s="203"/>
    </row>
    <row r="14" spans="1:24" ht="20.5" x14ac:dyDescent="0.45">
      <c r="A14" s="204" t="s">
        <v>260</v>
      </c>
      <c r="B14" s="205" t="s">
        <v>299</v>
      </c>
    </row>
    <row r="15" spans="1:24" x14ac:dyDescent="0.35">
      <c r="O15" s="206"/>
    </row>
    <row r="16" spans="1:24" ht="18" x14ac:dyDescent="0.4">
      <c r="B16" s="205" t="s">
        <v>294</v>
      </c>
      <c r="O16" s="206"/>
    </row>
    <row r="17" spans="1:17" x14ac:dyDescent="0.35">
      <c r="B17" s="207"/>
      <c r="O17" s="206"/>
    </row>
    <row r="23" spans="1:17" ht="18" x14ac:dyDescent="0.4">
      <c r="B23" s="205" t="s">
        <v>300</v>
      </c>
    </row>
    <row r="31" spans="1:17" ht="20.5" x14ac:dyDescent="0.45">
      <c r="A31" s="204" t="s">
        <v>259</v>
      </c>
      <c r="B31" s="271" t="s">
        <v>295</v>
      </c>
      <c r="C31" s="271"/>
      <c r="D31" s="271"/>
      <c r="E31" s="271"/>
      <c r="F31" s="271"/>
      <c r="G31" s="271"/>
      <c r="H31" s="271"/>
      <c r="I31" s="271"/>
      <c r="J31" s="271"/>
      <c r="K31" s="271"/>
      <c r="L31" s="271"/>
      <c r="M31" s="271"/>
      <c r="N31" s="271"/>
      <c r="O31" s="271"/>
      <c r="P31" s="271"/>
      <c r="Q31" s="271"/>
    </row>
    <row r="32" spans="1:17" ht="18" x14ac:dyDescent="0.4">
      <c r="A32" s="208"/>
      <c r="B32" s="271"/>
      <c r="C32" s="271"/>
      <c r="D32" s="271"/>
      <c r="E32" s="271"/>
      <c r="F32" s="271"/>
      <c r="G32" s="271"/>
      <c r="H32" s="271"/>
      <c r="I32" s="271"/>
      <c r="J32" s="271"/>
      <c r="K32" s="271"/>
      <c r="L32" s="271"/>
      <c r="M32" s="271"/>
      <c r="N32" s="271"/>
      <c r="O32" s="271"/>
      <c r="P32" s="271"/>
      <c r="Q32" s="271"/>
    </row>
    <row r="33" spans="1:20" ht="12" customHeight="1" x14ac:dyDescent="0.4">
      <c r="A33" s="208"/>
      <c r="B33" s="209"/>
      <c r="C33" s="209"/>
      <c r="D33" s="209"/>
      <c r="E33" s="209"/>
      <c r="F33" s="209"/>
      <c r="G33" s="209"/>
      <c r="H33" s="209"/>
      <c r="I33" s="209"/>
      <c r="J33" s="209"/>
      <c r="K33" s="209"/>
      <c r="L33" s="209"/>
      <c r="M33" s="209"/>
      <c r="N33" s="209"/>
      <c r="O33" s="209"/>
      <c r="P33" s="209"/>
      <c r="Q33" s="209"/>
    </row>
    <row r="34" spans="1:20" ht="18" x14ac:dyDescent="0.4">
      <c r="A34" s="208"/>
      <c r="B34" s="210" t="s">
        <v>264</v>
      </c>
      <c r="C34" s="211"/>
      <c r="D34" s="211"/>
      <c r="E34" s="211"/>
      <c r="F34" s="211"/>
      <c r="G34" s="211"/>
      <c r="H34" s="211"/>
      <c r="I34" s="211"/>
      <c r="J34" s="211"/>
      <c r="K34" s="211"/>
      <c r="L34" s="211"/>
      <c r="M34" s="211"/>
      <c r="N34" s="211"/>
      <c r="O34" s="211"/>
      <c r="P34" s="211"/>
      <c r="Q34" s="211"/>
      <c r="R34" s="212"/>
      <c r="S34" s="212"/>
      <c r="T34" s="212"/>
    </row>
    <row r="35" spans="1:20" ht="18" x14ac:dyDescent="0.4">
      <c r="A35" s="208"/>
      <c r="B35" s="210" t="s">
        <v>296</v>
      </c>
      <c r="C35" s="211"/>
      <c r="D35" s="211"/>
      <c r="E35" s="211"/>
      <c r="F35" s="211"/>
      <c r="G35" s="211"/>
      <c r="H35" s="211"/>
      <c r="I35" s="211"/>
      <c r="J35" s="211"/>
      <c r="K35" s="211"/>
      <c r="L35" s="211"/>
      <c r="M35" s="211"/>
      <c r="N35" s="211"/>
      <c r="O35" s="211"/>
      <c r="P35" s="211"/>
      <c r="Q35" s="211"/>
      <c r="R35" s="212"/>
      <c r="S35" s="212"/>
      <c r="T35" s="212"/>
    </row>
    <row r="36" spans="1:20" ht="12" customHeight="1" x14ac:dyDescent="0.4">
      <c r="A36" s="208"/>
      <c r="B36" s="205"/>
      <c r="C36" s="209"/>
      <c r="D36" s="209"/>
      <c r="E36" s="209"/>
      <c r="F36" s="209"/>
      <c r="G36" s="209"/>
      <c r="H36" s="209"/>
      <c r="I36" s="209"/>
      <c r="J36" s="209"/>
      <c r="K36" s="209"/>
      <c r="L36" s="209"/>
      <c r="M36" s="209"/>
      <c r="N36" s="209"/>
      <c r="O36" s="209"/>
      <c r="P36" s="209"/>
      <c r="Q36" s="209"/>
    </row>
    <row r="37" spans="1:20" x14ac:dyDescent="0.35">
      <c r="B37" s="272" t="s">
        <v>297</v>
      </c>
      <c r="C37" s="272"/>
      <c r="D37" s="272"/>
      <c r="E37" s="272"/>
      <c r="F37" s="272"/>
      <c r="G37" s="272"/>
      <c r="H37" s="272"/>
      <c r="I37" s="272"/>
      <c r="J37" s="272"/>
      <c r="K37" s="272"/>
      <c r="L37" s="272"/>
      <c r="M37" s="272"/>
    </row>
    <row r="38" spans="1:20" ht="18" customHeight="1" x14ac:dyDescent="0.35">
      <c r="B38" s="272"/>
      <c r="C38" s="272"/>
      <c r="D38" s="272"/>
      <c r="E38" s="272"/>
      <c r="F38" s="272"/>
      <c r="G38" s="272"/>
      <c r="H38" s="272"/>
      <c r="I38" s="272"/>
      <c r="J38" s="272"/>
      <c r="K38" s="272"/>
      <c r="L38" s="272"/>
      <c r="M38" s="272"/>
    </row>
    <row r="52" spans="1:19" ht="18" x14ac:dyDescent="0.4">
      <c r="A52" s="208"/>
    </row>
    <row r="53" spans="1:19" ht="18" x14ac:dyDescent="0.4">
      <c r="A53" s="208"/>
      <c r="B53" s="213"/>
    </row>
    <row r="54" spans="1:19" ht="18" x14ac:dyDescent="0.4">
      <c r="A54" s="208"/>
      <c r="B54" s="213"/>
    </row>
    <row r="55" spans="1:19" ht="18" x14ac:dyDescent="0.4">
      <c r="D55" s="205" t="s">
        <v>301</v>
      </c>
    </row>
    <row r="56" spans="1:19" ht="18" x14ac:dyDescent="0.4">
      <c r="D56" s="205" t="s">
        <v>302</v>
      </c>
    </row>
    <row r="59" spans="1:19" s="214" customFormat="1" ht="24" customHeight="1" x14ac:dyDescent="0.35">
      <c r="A59" s="273" t="s">
        <v>342</v>
      </c>
      <c r="B59" s="273"/>
      <c r="C59" s="273"/>
      <c r="D59" s="273"/>
      <c r="E59" s="273"/>
      <c r="F59" s="273"/>
      <c r="G59" s="273"/>
      <c r="H59" s="273"/>
      <c r="I59" s="273"/>
      <c r="J59" s="273"/>
      <c r="K59" s="273"/>
      <c r="L59" s="273"/>
      <c r="M59" s="273"/>
      <c r="N59" s="273"/>
      <c r="O59" s="273"/>
      <c r="P59" s="273"/>
      <c r="Q59" s="273"/>
      <c r="R59" s="273"/>
      <c r="S59" s="273"/>
    </row>
    <row r="60" spans="1:19" s="214" customFormat="1" ht="24" customHeight="1" x14ac:dyDescent="0.35">
      <c r="A60" s="273"/>
      <c r="B60" s="273"/>
      <c r="C60" s="273"/>
      <c r="D60" s="273"/>
      <c r="E60" s="273"/>
      <c r="F60" s="273"/>
      <c r="G60" s="273"/>
      <c r="H60" s="273"/>
      <c r="I60" s="273"/>
      <c r="J60" s="273"/>
      <c r="K60" s="273"/>
      <c r="L60" s="273"/>
      <c r="M60" s="273"/>
      <c r="N60" s="273"/>
      <c r="O60" s="273"/>
      <c r="P60" s="273"/>
      <c r="Q60" s="273"/>
      <c r="R60" s="273"/>
      <c r="S60" s="273"/>
    </row>
    <row r="62" spans="1:19" ht="20.5" x14ac:dyDescent="0.45">
      <c r="A62" s="215" t="s">
        <v>262</v>
      </c>
    </row>
    <row r="63" spans="1:19" x14ac:dyDescent="0.35">
      <c r="A63" s="1"/>
    </row>
  </sheetData>
  <sheetProtection algorithmName="SHA-512" hashValue="onH6WalL/dPwE9jwYkwAsn1AdNP16xTnHSentpU+S1SnxkD98BuvHXKmQwVcqfihmcydfcFOZBTXTRBKDBTkxQ==" saltValue="b3pcUq4NvRcuVTciDbUixw==" spinCount="100000" sheet="1" selectLockedCells="1" selectUnlockedCells="1"/>
  <mergeCells count="4">
    <mergeCell ref="A4:L9"/>
    <mergeCell ref="B31:Q32"/>
    <mergeCell ref="B37:M38"/>
    <mergeCell ref="A59:S60"/>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F68426"/>
    <pageSetUpPr fitToPage="1"/>
  </sheetPr>
  <dimension ref="A1:AK58"/>
  <sheetViews>
    <sheetView showGridLines="0" tabSelected="1" zoomScale="120" zoomScaleNormal="120" workbookViewId="0">
      <selection activeCell="E3" sqref="E3"/>
    </sheetView>
  </sheetViews>
  <sheetFormatPr defaultColWidth="9.08984375" defaultRowHeight="14.5" x14ac:dyDescent="0.35"/>
  <cols>
    <col min="1" max="1" width="8.453125" style="114" customWidth="1"/>
    <col min="2" max="2" width="8.6328125" style="114" customWidth="1"/>
    <col min="3" max="3" width="2.6328125" style="114" customWidth="1"/>
    <col min="4" max="4" width="28.6328125" style="114" customWidth="1"/>
    <col min="5" max="5" width="24.6328125" style="114" customWidth="1"/>
    <col min="6" max="7" width="24.6328125" style="142" customWidth="1"/>
    <col min="8" max="8" width="12.6328125" style="114" customWidth="1"/>
    <col min="9" max="9" width="18.6328125" style="114" customWidth="1"/>
    <col min="10" max="13" width="10.6328125" style="114" customWidth="1"/>
    <col min="14" max="14" width="12.6328125" style="114" customWidth="1"/>
    <col min="15" max="19" width="9.08984375" style="114"/>
    <col min="20" max="21" width="20.453125" style="114" bestFit="1" customWidth="1"/>
    <col min="22" max="22" width="18.08984375" style="114" bestFit="1" customWidth="1"/>
    <col min="23" max="23" width="15.453125" style="142" customWidth="1"/>
    <col min="24" max="24" width="15.453125" style="183" customWidth="1"/>
    <col min="25" max="37" width="9.08984375" style="141"/>
    <col min="38" max="16384" width="9.08984375" style="114"/>
  </cols>
  <sheetData>
    <row r="1" spans="1:32" ht="26" x14ac:dyDescent="0.35">
      <c r="A1" s="111" t="s">
        <v>324</v>
      </c>
      <c r="B1" s="1"/>
      <c r="C1" s="1"/>
      <c r="D1" s="1"/>
      <c r="E1" s="112"/>
      <c r="F1" s="52"/>
      <c r="G1" s="52"/>
      <c r="H1" s="1"/>
      <c r="I1"/>
      <c r="J1"/>
      <c r="K1"/>
      <c r="L1"/>
      <c r="M1"/>
      <c r="N1" s="1"/>
      <c r="O1" s="113"/>
      <c r="S1" s="115"/>
      <c r="T1" s="119"/>
      <c r="U1" s="115"/>
      <c r="V1" s="115"/>
      <c r="W1" s="229"/>
      <c r="X1" s="120"/>
      <c r="Y1" s="119"/>
      <c r="Z1" s="119"/>
      <c r="AA1" s="119"/>
      <c r="AB1" s="119"/>
      <c r="AC1" s="119"/>
      <c r="AD1" s="119"/>
      <c r="AE1" s="119"/>
      <c r="AF1" s="119"/>
    </row>
    <row r="2" spans="1:32" ht="43.5" customHeight="1" x14ac:dyDescent="0.35">
      <c r="A2" s="191" t="s">
        <v>341</v>
      </c>
      <c r="B2" s="1"/>
      <c r="C2" s="1"/>
      <c r="D2" s="1"/>
      <c r="E2" s="112"/>
      <c r="F2" s="52"/>
      <c r="G2" s="52"/>
      <c r="H2" s="1"/>
      <c r="I2"/>
      <c r="J2"/>
      <c r="K2"/>
      <c r="L2"/>
      <c r="M2"/>
      <c r="N2" s="1"/>
      <c r="O2" s="113"/>
      <c r="S2" s="115"/>
      <c r="T2" s="119"/>
      <c r="U2" s="115"/>
      <c r="V2" s="115"/>
      <c r="W2" s="229"/>
      <c r="X2" s="120"/>
      <c r="Y2" s="119"/>
      <c r="Z2" s="119"/>
      <c r="AA2" s="119"/>
      <c r="AB2" s="119"/>
      <c r="AC2" s="119"/>
      <c r="AD2" s="119"/>
      <c r="AE2" s="119"/>
      <c r="AF2" s="119"/>
    </row>
    <row r="3" spans="1:32" x14ac:dyDescent="0.35">
      <c r="A3" s="1"/>
      <c r="B3" s="1"/>
      <c r="C3" s="1"/>
      <c r="D3" s="56" t="s">
        <v>303</v>
      </c>
      <c r="E3" s="219" t="s">
        <v>317</v>
      </c>
      <c r="F3" s="116"/>
      <c r="G3" s="52"/>
      <c r="H3" s="1"/>
      <c r="I3" s="117" t="s">
        <v>270</v>
      </c>
      <c r="J3" s="117"/>
      <c r="K3" s="226" t="str">
        <f>IF(E3=T7,"Please Select an Enrollment Tier",IF(E3=Q8,R8,R9))</f>
        <v>Please Select an Enrollment Tier</v>
      </c>
      <c r="L3" s="1"/>
      <c r="M3" s="1"/>
      <c r="N3" s="1"/>
      <c r="T3" s="141"/>
      <c r="W3" s="229"/>
      <c r="X3" s="120"/>
      <c r="Y3" s="119"/>
      <c r="Z3" s="119"/>
      <c r="AA3" s="119"/>
      <c r="AB3" s="119"/>
      <c r="AC3" s="119"/>
      <c r="AD3" s="119"/>
      <c r="AE3" s="119"/>
      <c r="AF3" s="119"/>
    </row>
    <row r="4" spans="1:32" x14ac:dyDescent="0.35">
      <c r="A4" s="1"/>
      <c r="B4" s="1"/>
      <c r="C4" s="1"/>
      <c r="D4" s="56" t="s">
        <v>304</v>
      </c>
      <c r="E4" s="219" t="s">
        <v>317</v>
      </c>
      <c r="F4" s="116"/>
      <c r="G4" s="52"/>
      <c r="H4" s="1"/>
      <c r="I4" s="117"/>
      <c r="J4" s="117"/>
      <c r="K4" s="41"/>
      <c r="L4" s="1"/>
      <c r="M4" s="1"/>
      <c r="N4" s="1"/>
      <c r="T4" s="141"/>
      <c r="W4" s="229"/>
      <c r="X4" s="120"/>
      <c r="Y4" s="119"/>
      <c r="Z4" s="119"/>
      <c r="AA4" s="119"/>
      <c r="AB4" s="119"/>
      <c r="AC4" s="119"/>
      <c r="AD4" s="119"/>
      <c r="AE4" s="119"/>
      <c r="AF4" s="119"/>
    </row>
    <row r="5" spans="1:32" x14ac:dyDescent="0.35">
      <c r="A5" s="1"/>
      <c r="B5" s="1"/>
      <c r="C5" s="1"/>
      <c r="D5" s="56"/>
      <c r="E5" s="52"/>
      <c r="F5" s="116"/>
      <c r="G5" s="52"/>
      <c r="H5"/>
      <c r="I5"/>
      <c r="J5"/>
      <c r="K5"/>
      <c r="L5"/>
      <c r="M5"/>
      <c r="N5"/>
      <c r="T5" s="141"/>
      <c r="W5" s="229"/>
      <c r="X5" s="120"/>
      <c r="Y5" s="119"/>
      <c r="Z5" s="119"/>
      <c r="AA5" s="119"/>
      <c r="AB5" s="119"/>
      <c r="AC5" s="119"/>
      <c r="AD5" s="119"/>
      <c r="AE5" s="119"/>
      <c r="AF5" s="119"/>
    </row>
    <row r="6" spans="1:32" x14ac:dyDescent="0.35">
      <c r="A6" s="1"/>
      <c r="B6" s="1"/>
      <c r="C6" s="1"/>
      <c r="D6" s="231" t="s">
        <v>318</v>
      </c>
      <c r="E6" s="52"/>
      <c r="F6" s="116"/>
      <c r="G6" s="52"/>
      <c r="H6"/>
      <c r="I6"/>
      <c r="J6"/>
      <c r="K6"/>
      <c r="L6"/>
      <c r="M6"/>
      <c r="N6"/>
      <c r="T6" s="141"/>
      <c r="W6" s="229"/>
      <c r="X6" s="120"/>
      <c r="Y6" s="119"/>
      <c r="Z6" s="119"/>
      <c r="AA6" s="119"/>
      <c r="AB6" s="119"/>
      <c r="AC6" s="119"/>
      <c r="AD6" s="119"/>
      <c r="AE6" s="119"/>
      <c r="AF6" s="119"/>
    </row>
    <row r="7" spans="1:32" x14ac:dyDescent="0.35">
      <c r="A7" s="1"/>
      <c r="B7" s="1"/>
      <c r="C7" s="1"/>
      <c r="D7" s="227"/>
      <c r="E7" s="121"/>
      <c r="F7" s="275"/>
      <c r="G7" s="275"/>
      <c r="H7"/>
      <c r="I7"/>
      <c r="J7"/>
      <c r="K7"/>
      <c r="L7"/>
      <c r="M7"/>
      <c r="N7"/>
      <c r="T7" s="249" t="s">
        <v>317</v>
      </c>
      <c r="V7" s="115"/>
      <c r="W7" s="229"/>
      <c r="X7" s="120"/>
      <c r="Y7" s="119"/>
      <c r="Z7" s="119"/>
      <c r="AA7" s="119"/>
      <c r="AB7" s="119"/>
      <c r="AC7" s="119"/>
      <c r="AD7" s="119"/>
      <c r="AE7" s="119"/>
      <c r="AF7" s="119"/>
    </row>
    <row r="8" spans="1:32" ht="15" customHeight="1" x14ac:dyDescent="0.35">
      <c r="A8" s="1"/>
      <c r="B8" s="1"/>
      <c r="C8" s="1"/>
      <c r="D8" s="3"/>
      <c r="E8" s="4" t="s">
        <v>28</v>
      </c>
      <c r="F8" s="5" t="str">
        <f>+IF(E3=V9,"Subscriber","Member 1")</f>
        <v>Member 1</v>
      </c>
      <c r="G8" s="5" t="s">
        <v>266</v>
      </c>
      <c r="H8" s="1"/>
      <c r="I8" s="122" t="s">
        <v>269</v>
      </c>
      <c r="J8" s="122"/>
      <c r="K8" s="1"/>
      <c r="L8" s="1"/>
      <c r="M8" s="1"/>
      <c r="N8" s="1"/>
      <c r="Q8" s="228" t="s">
        <v>10</v>
      </c>
      <c r="R8" s="229">
        <v>500</v>
      </c>
      <c r="S8" s="115"/>
      <c r="T8" s="119" t="s">
        <v>10</v>
      </c>
      <c r="U8" s="216"/>
      <c r="V8" s="216"/>
      <c r="W8" s="232"/>
      <c r="X8" s="123"/>
      <c r="Y8" s="119"/>
      <c r="Z8" s="119"/>
      <c r="AA8" s="119"/>
      <c r="AB8" s="119"/>
      <c r="AC8" s="119"/>
      <c r="AD8" s="120"/>
      <c r="AE8" s="120"/>
      <c r="AF8" s="119"/>
    </row>
    <row r="9" spans="1:32" ht="15" customHeight="1" x14ac:dyDescent="0.35">
      <c r="A9" s="1"/>
      <c r="B9" s="1"/>
      <c r="C9" s="1"/>
      <c r="D9" s="124" t="s">
        <v>3</v>
      </c>
      <c r="E9" s="125">
        <f t="shared" ref="E9:E19" si="0">IF($E$3=$Q$8,F9,F9+G9)</f>
        <v>0</v>
      </c>
      <c r="F9" s="106"/>
      <c r="G9" s="107"/>
      <c r="H9" s="1"/>
      <c r="I9" s="126" t="s">
        <v>267</v>
      </c>
      <c r="J9" s="126"/>
      <c r="K9" s="127"/>
      <c r="L9" s="127"/>
      <c r="M9" s="127"/>
      <c r="N9" s="1"/>
      <c r="Q9" s="228"/>
      <c r="R9" s="229">
        <v>1000</v>
      </c>
      <c r="S9" s="115"/>
      <c r="T9" s="119" t="s">
        <v>273</v>
      </c>
      <c r="U9" s="217"/>
      <c r="V9" s="217"/>
      <c r="W9" s="228"/>
      <c r="X9" s="128"/>
      <c r="Y9" s="119"/>
      <c r="Z9" s="118"/>
      <c r="AA9" s="119"/>
      <c r="AB9" s="119"/>
      <c r="AC9" s="119"/>
      <c r="AD9" s="120"/>
      <c r="AE9" s="120"/>
      <c r="AF9" s="119"/>
    </row>
    <row r="10" spans="1:32" ht="15" customHeight="1" x14ac:dyDescent="0.35">
      <c r="A10" s="129"/>
      <c r="B10" s="129"/>
      <c r="C10" s="1"/>
      <c r="D10" s="124" t="s">
        <v>4</v>
      </c>
      <c r="E10" s="125">
        <f t="shared" si="0"/>
        <v>0</v>
      </c>
      <c r="F10" s="106"/>
      <c r="G10" s="107"/>
      <c r="H10" s="1"/>
      <c r="I10" s="126" t="s">
        <v>268</v>
      </c>
      <c r="J10" s="126"/>
      <c r="K10" s="127"/>
      <c r="L10" s="130"/>
      <c r="M10" s="130"/>
      <c r="N10" s="1"/>
      <c r="O10" s="141"/>
      <c r="P10" s="141"/>
      <c r="Q10" s="141"/>
      <c r="R10" s="184"/>
      <c r="S10" s="119"/>
      <c r="T10" s="119" t="s">
        <v>274</v>
      </c>
      <c r="U10" s="119"/>
      <c r="V10" s="119"/>
      <c r="W10" s="128"/>
      <c r="X10" s="128"/>
      <c r="Y10" s="119"/>
      <c r="Z10" s="118"/>
      <c r="AA10" s="119"/>
      <c r="AB10" s="119"/>
      <c r="AC10" s="119"/>
      <c r="AD10" s="119"/>
      <c r="AE10" s="119"/>
      <c r="AF10" s="119"/>
    </row>
    <row r="11" spans="1:32" ht="15" customHeight="1" x14ac:dyDescent="0.35">
      <c r="A11" s="129"/>
      <c r="B11" s="129"/>
      <c r="C11" s="1"/>
      <c r="D11" s="124" t="s">
        <v>13</v>
      </c>
      <c r="E11" s="125">
        <f t="shared" si="0"/>
        <v>0</v>
      </c>
      <c r="F11" s="106"/>
      <c r="G11" s="107"/>
      <c r="H11" s="1"/>
      <c r="I11" s="276" t="s">
        <v>287</v>
      </c>
      <c r="J11" s="276"/>
      <c r="K11" s="276"/>
      <c r="L11" s="276"/>
      <c r="M11" s="236"/>
      <c r="N11" s="1"/>
      <c r="O11" s="141"/>
      <c r="P11" s="141"/>
      <c r="Q11" s="141"/>
      <c r="R11" s="184"/>
      <c r="S11" s="119"/>
      <c r="T11" s="119" t="s">
        <v>11</v>
      </c>
      <c r="U11" s="118"/>
      <c r="V11" s="118"/>
      <c r="W11" s="128"/>
      <c r="X11" s="128"/>
      <c r="Y11" s="119"/>
      <c r="Z11" s="118"/>
      <c r="AA11" s="119"/>
      <c r="AB11" s="119"/>
      <c r="AC11" s="119"/>
      <c r="AD11" s="119"/>
      <c r="AE11" s="119"/>
      <c r="AF11" s="119"/>
    </row>
    <row r="12" spans="1:32" ht="15" customHeight="1" x14ac:dyDescent="0.35">
      <c r="A12" s="1"/>
      <c r="B12" s="1"/>
      <c r="C12" s="1"/>
      <c r="D12" s="131" t="s">
        <v>5</v>
      </c>
      <c r="E12" s="125">
        <f t="shared" si="0"/>
        <v>0</v>
      </c>
      <c r="F12" s="106"/>
      <c r="G12" s="107"/>
      <c r="H12" s="1"/>
      <c r="I12" s="276"/>
      <c r="J12" s="276"/>
      <c r="K12" s="276"/>
      <c r="L12" s="276"/>
      <c r="M12" s="236"/>
      <c r="N12" s="127"/>
      <c r="O12" s="141"/>
      <c r="P12" s="141"/>
      <c r="Q12" s="141"/>
      <c r="R12" s="184"/>
      <c r="S12" s="119"/>
      <c r="T12" s="119"/>
      <c r="U12" s="118"/>
      <c r="V12" s="118"/>
      <c r="W12" s="128"/>
      <c r="X12" s="128"/>
      <c r="Y12" s="119"/>
      <c r="Z12" s="118"/>
      <c r="AA12" s="119"/>
      <c r="AB12" s="119"/>
      <c r="AC12" s="119"/>
      <c r="AD12" s="120"/>
      <c r="AE12" s="120"/>
      <c r="AF12" s="119"/>
    </row>
    <row r="13" spans="1:32" ht="15" customHeight="1" x14ac:dyDescent="0.35">
      <c r="A13"/>
      <c r="B13"/>
      <c r="C13" s="1"/>
      <c r="D13" s="131" t="s">
        <v>14</v>
      </c>
      <c r="E13" s="125">
        <f t="shared" si="0"/>
        <v>0</v>
      </c>
      <c r="F13" s="106"/>
      <c r="G13" s="107"/>
      <c r="H13" s="1"/>
      <c r="I13" s="276"/>
      <c r="J13" s="276"/>
      <c r="K13" s="276"/>
      <c r="L13" s="276"/>
      <c r="M13" s="236"/>
      <c r="N13" s="130"/>
      <c r="O13" s="141"/>
      <c r="P13" s="141"/>
      <c r="Q13" s="141"/>
      <c r="R13" s="184"/>
      <c r="S13" s="119"/>
      <c r="T13" s="249" t="s">
        <v>317</v>
      </c>
      <c r="U13" s="119"/>
      <c r="V13" s="119"/>
      <c r="W13" s="120"/>
      <c r="X13" s="120"/>
      <c r="Y13" s="119"/>
      <c r="Z13" s="119"/>
      <c r="AA13" s="119"/>
      <c r="AB13" s="119"/>
      <c r="AC13" s="119"/>
      <c r="AD13" s="119"/>
      <c r="AE13" s="119"/>
      <c r="AF13" s="119"/>
    </row>
    <row r="14" spans="1:32" ht="15" customHeight="1" x14ac:dyDescent="0.35">
      <c r="A14"/>
      <c r="B14"/>
      <c r="C14" s="1"/>
      <c r="D14" s="131" t="s">
        <v>6</v>
      </c>
      <c r="E14" s="125">
        <f t="shared" si="0"/>
        <v>0</v>
      </c>
      <c r="F14" s="106"/>
      <c r="G14" s="107"/>
      <c r="H14" s="1"/>
      <c r="I14" s="276"/>
      <c r="J14" s="276"/>
      <c r="K14" s="276"/>
      <c r="L14" s="276"/>
      <c r="M14" s="236"/>
      <c r="N14" s="130"/>
      <c r="O14" s="141"/>
      <c r="P14" s="141"/>
      <c r="Q14" s="141"/>
      <c r="R14" s="184"/>
      <c r="S14" s="119"/>
      <c r="T14" s="119" t="s">
        <v>336</v>
      </c>
      <c r="U14" s="119"/>
      <c r="V14" s="119"/>
      <c r="W14" s="120"/>
      <c r="X14" s="120"/>
      <c r="Y14" s="119"/>
      <c r="Z14" s="119"/>
      <c r="AA14" s="119"/>
      <c r="AB14" s="119"/>
      <c r="AC14" s="119"/>
      <c r="AD14" s="119"/>
      <c r="AE14" s="119"/>
      <c r="AF14" s="119"/>
    </row>
    <row r="15" spans="1:32" ht="15" customHeight="1" x14ac:dyDescent="0.35">
      <c r="A15"/>
      <c r="B15"/>
      <c r="C15" s="1"/>
      <c r="D15" s="131" t="s">
        <v>7</v>
      </c>
      <c r="E15" s="125">
        <f t="shared" si="0"/>
        <v>0</v>
      </c>
      <c r="F15" s="106"/>
      <c r="G15" s="107"/>
      <c r="H15" s="1"/>
      <c r="I15" s="276"/>
      <c r="J15" s="276"/>
      <c r="K15" s="276"/>
      <c r="L15" s="276"/>
      <c r="M15" s="236"/>
      <c r="N15" s="130"/>
      <c r="O15" s="141"/>
      <c r="P15" s="141"/>
      <c r="Q15" s="141"/>
      <c r="R15" s="184"/>
      <c r="S15" s="119"/>
      <c r="T15" s="119" t="s">
        <v>338</v>
      </c>
      <c r="U15" s="291"/>
      <c r="V15" s="291"/>
      <c r="W15" s="120"/>
      <c r="X15" s="120"/>
      <c r="Y15" s="119"/>
      <c r="Z15" s="119"/>
      <c r="AA15" s="119"/>
      <c r="AB15" s="119"/>
      <c r="AC15" s="119"/>
      <c r="AD15" s="120"/>
      <c r="AE15" s="120"/>
      <c r="AF15" s="119"/>
    </row>
    <row r="16" spans="1:32" ht="15" customHeight="1" x14ac:dyDescent="0.35">
      <c r="A16"/>
      <c r="B16"/>
      <c r="C16" s="1"/>
      <c r="D16" s="131" t="s">
        <v>265</v>
      </c>
      <c r="E16" s="125">
        <f t="shared" si="0"/>
        <v>0</v>
      </c>
      <c r="F16" s="106"/>
      <c r="G16" s="107"/>
      <c r="H16" s="1"/>
      <c r="I16" s="276" t="s">
        <v>316</v>
      </c>
      <c r="J16" s="276"/>
      <c r="K16" s="276"/>
      <c r="L16" s="276"/>
      <c r="M16" s="236"/>
      <c r="N16" s="130"/>
      <c r="O16" s="292"/>
      <c r="P16" s="141"/>
      <c r="Q16" s="141"/>
      <c r="R16" s="184"/>
      <c r="S16" s="119"/>
      <c r="T16" s="119" t="s">
        <v>337</v>
      </c>
      <c r="U16" s="118"/>
      <c r="V16" s="118"/>
      <c r="W16" s="128"/>
      <c r="X16" s="128"/>
      <c r="Y16" s="119"/>
      <c r="Z16" s="119"/>
      <c r="AA16" s="119"/>
      <c r="AB16" s="119"/>
      <c r="AC16" s="119"/>
      <c r="AD16" s="120"/>
      <c r="AF16" s="119"/>
    </row>
    <row r="17" spans="1:32" ht="15" customHeight="1" x14ac:dyDescent="0.35">
      <c r="A17"/>
      <c r="B17"/>
      <c r="C17" s="1"/>
      <c r="D17" s="131" t="s">
        <v>313</v>
      </c>
      <c r="E17" s="125">
        <f t="shared" si="0"/>
        <v>0</v>
      </c>
      <c r="F17" s="106"/>
      <c r="G17" s="107"/>
      <c r="H17" s="1"/>
      <c r="I17" s="276"/>
      <c r="J17" s="276"/>
      <c r="K17" s="276"/>
      <c r="L17" s="276"/>
      <c r="M17" s="236"/>
      <c r="N17" s="130"/>
      <c r="O17" s="141"/>
      <c r="P17" s="141"/>
      <c r="Q17" s="141"/>
      <c r="R17" s="184"/>
      <c r="S17" s="119"/>
      <c r="T17" s="249" t="s">
        <v>339</v>
      </c>
      <c r="U17" s="119"/>
      <c r="V17" s="118"/>
      <c r="W17" s="128"/>
      <c r="X17" s="128"/>
      <c r="Y17" s="119"/>
      <c r="Z17" s="119"/>
      <c r="AA17" s="119"/>
      <c r="AB17" s="119"/>
      <c r="AC17" s="119"/>
      <c r="AD17" s="120"/>
      <c r="AF17" s="119"/>
    </row>
    <row r="18" spans="1:32" ht="15" customHeight="1" x14ac:dyDescent="0.35">
      <c r="A18"/>
      <c r="B18"/>
      <c r="C18" s="1"/>
      <c r="D18" s="131" t="s">
        <v>314</v>
      </c>
      <c r="E18" s="125">
        <f t="shared" si="0"/>
        <v>0</v>
      </c>
      <c r="F18" s="106"/>
      <c r="G18" s="107"/>
      <c r="H18" s="1"/>
      <c r="I18" s="276"/>
      <c r="J18" s="276"/>
      <c r="K18" s="276"/>
      <c r="L18" s="276"/>
      <c r="M18" s="236"/>
      <c r="N18" s="130"/>
      <c r="O18" s="141"/>
      <c r="P18" s="141"/>
      <c r="Q18" s="141"/>
      <c r="R18" s="184"/>
      <c r="S18" s="119"/>
      <c r="T18" s="119"/>
      <c r="U18" s="119"/>
      <c r="V18" s="118"/>
      <c r="W18" s="128"/>
      <c r="X18" s="128"/>
      <c r="Y18" s="119"/>
      <c r="Z18" s="119"/>
      <c r="AA18" s="119"/>
      <c r="AB18" s="119"/>
      <c r="AC18" s="119"/>
      <c r="AD18" s="119"/>
      <c r="AE18" s="119"/>
      <c r="AF18" s="119"/>
    </row>
    <row r="19" spans="1:32" ht="15" customHeight="1" x14ac:dyDescent="0.35">
      <c r="A19"/>
      <c r="B19"/>
      <c r="C19" s="1"/>
      <c r="D19" s="283" t="s">
        <v>319</v>
      </c>
      <c r="E19" s="125">
        <f t="shared" si="0"/>
        <v>0</v>
      </c>
      <c r="F19" s="106"/>
      <c r="G19" s="107"/>
      <c r="H19" s="1"/>
      <c r="I19" s="33"/>
      <c r="J19" s="33"/>
      <c r="K19" s="1"/>
      <c r="L19" s="130"/>
      <c r="M19" s="130"/>
      <c r="N19" s="130"/>
      <c r="O19" s="141"/>
      <c r="P19" s="141"/>
      <c r="Q19" s="141"/>
      <c r="R19" s="184"/>
      <c r="S19" s="119"/>
      <c r="T19" s="119"/>
      <c r="U19" s="119"/>
      <c r="V19" s="118"/>
      <c r="W19" s="128"/>
      <c r="X19" s="128"/>
      <c r="Y19" s="119"/>
      <c r="Z19" s="119"/>
      <c r="AA19" s="119"/>
      <c r="AB19" s="119"/>
      <c r="AC19" s="119"/>
      <c r="AD19" s="119"/>
      <c r="AE19" s="119"/>
      <c r="AF19" s="119"/>
    </row>
    <row r="20" spans="1:32" ht="27" hidden="1" customHeight="1" x14ac:dyDescent="0.35">
      <c r="A20"/>
      <c r="B20"/>
      <c r="C20" s="1"/>
      <c r="D20" s="283"/>
      <c r="E20" s="132"/>
      <c r="F20" s="133" t="str">
        <f>IF('Analyst Use Only'!G92='Analyst Use Only'!J94,"Deductible met","Deductible not met 
DELETE BELOW")</f>
        <v>Deductible met</v>
      </c>
      <c r="G20" s="134" t="str">
        <f>IF('Analyst Use Only'!G114='Analyst Use Only'!J116,"Deductible met","Deductible not met
DELETE BELOW")</f>
        <v>Deductible met</v>
      </c>
      <c r="H20" s="1"/>
      <c r="I20" s="1"/>
      <c r="J20" s="1"/>
      <c r="K20" s="1"/>
      <c r="L20" s="130"/>
      <c r="M20" s="130"/>
      <c r="N20" s="130"/>
      <c r="O20" s="141"/>
      <c r="P20" s="141"/>
      <c r="Q20" s="141"/>
      <c r="R20" s="184"/>
      <c r="S20" s="119"/>
      <c r="T20" s="119"/>
      <c r="U20" s="119"/>
      <c r="V20" s="118"/>
      <c r="W20" s="128"/>
      <c r="X20" s="128"/>
      <c r="Y20" s="119"/>
      <c r="Z20" s="119"/>
      <c r="AA20" s="119"/>
      <c r="AB20" s="119"/>
      <c r="AC20" s="119"/>
      <c r="AD20" s="119"/>
      <c r="AE20" s="119"/>
      <c r="AF20" s="119"/>
    </row>
    <row r="21" spans="1:32" ht="15" hidden="1" customHeight="1" x14ac:dyDescent="0.35">
      <c r="A21"/>
      <c r="B21"/>
      <c r="C21" s="1"/>
      <c r="D21" s="283"/>
      <c r="E21" s="135">
        <f>IF($E$3=$V$9,F21,IF('Analyst Use Only'!$E$5="No",SUM(F21:G21),SUM(F21:G21)))</f>
        <v>0</v>
      </c>
      <c r="F21" s="136"/>
      <c r="G21" s="136"/>
      <c r="H21" s="1"/>
      <c r="I21" s="1"/>
      <c r="J21" s="1"/>
      <c r="K21" s="1"/>
      <c r="L21" s="1"/>
      <c r="M21" s="1"/>
      <c r="N21" s="1"/>
      <c r="O21" s="141"/>
      <c r="P21" s="141"/>
      <c r="Q21" s="141"/>
      <c r="R21" s="184"/>
      <c r="S21" s="119"/>
      <c r="T21" s="119"/>
      <c r="U21" s="119"/>
      <c r="V21" s="119"/>
      <c r="W21" s="120"/>
      <c r="X21" s="120"/>
      <c r="Y21" s="119"/>
      <c r="Z21" s="119"/>
      <c r="AA21" s="119"/>
      <c r="AB21" s="119"/>
      <c r="AC21" s="119"/>
      <c r="AD21" s="119"/>
      <c r="AE21" s="119"/>
      <c r="AF21" s="119"/>
    </row>
    <row r="22" spans="1:32" x14ac:dyDescent="0.35">
      <c r="A22"/>
      <c r="B22"/>
      <c r="C22" s="33"/>
      <c r="D22" s="283"/>
      <c r="E22" s="277" t="s">
        <v>271</v>
      </c>
      <c r="F22" s="278"/>
      <c r="G22" s="279"/>
      <c r="H22" s="33"/>
      <c r="I22" s="1"/>
      <c r="J22" s="1"/>
      <c r="K22" s="1"/>
      <c r="L22" s="1"/>
      <c r="M22" s="1"/>
      <c r="N22" s="1"/>
      <c r="O22" s="141"/>
      <c r="P22" s="141"/>
      <c r="Q22" s="141"/>
      <c r="R22" s="141"/>
      <c r="S22" s="119"/>
      <c r="T22" s="119"/>
      <c r="U22" s="119"/>
      <c r="V22" s="119"/>
      <c r="W22" s="120"/>
      <c r="X22" s="120"/>
      <c r="Y22" s="119"/>
      <c r="Z22" s="119"/>
      <c r="AA22" s="119"/>
      <c r="AB22" s="119"/>
      <c r="AC22" s="119"/>
      <c r="AD22" s="119"/>
      <c r="AE22" s="119"/>
      <c r="AF22" s="119"/>
    </row>
    <row r="23" spans="1:32" x14ac:dyDescent="0.35">
      <c r="A23"/>
      <c r="B23"/>
      <c r="C23" s="33"/>
      <c r="D23" s="33"/>
      <c r="E23" s="280"/>
      <c r="F23" s="281"/>
      <c r="G23" s="282"/>
      <c r="H23" s="33"/>
      <c r="I23" s="1"/>
      <c r="J23" s="1"/>
      <c r="K23" s="1"/>
      <c r="L23" s="1"/>
      <c r="M23" s="1"/>
      <c r="N23" s="1"/>
      <c r="O23" s="141"/>
      <c r="P23" s="141"/>
      <c r="Q23" s="141"/>
      <c r="R23" s="141"/>
      <c r="S23" s="119"/>
      <c r="T23" s="119"/>
      <c r="U23" s="119"/>
      <c r="V23" s="119"/>
      <c r="W23" s="120"/>
      <c r="X23" s="120"/>
      <c r="Y23" s="119"/>
      <c r="Z23" s="119"/>
      <c r="AA23" s="119"/>
      <c r="AB23" s="119"/>
      <c r="AC23" s="119"/>
      <c r="AD23" s="119"/>
      <c r="AE23" s="119"/>
      <c r="AF23" s="119"/>
    </row>
    <row r="24" spans="1:32" x14ac:dyDescent="0.35">
      <c r="A24"/>
      <c r="B24"/>
      <c r="C24" s="33"/>
      <c r="D24" s="33"/>
      <c r="E24" s="33"/>
      <c r="F24" s="137"/>
      <c r="G24" s="137"/>
      <c r="H24" s="33"/>
      <c r="I24" s="1"/>
      <c r="J24" s="1"/>
      <c r="K24" s="1"/>
      <c r="L24" s="1"/>
      <c r="M24" s="1"/>
      <c r="N24" s="1"/>
      <c r="O24" s="141"/>
      <c r="P24" s="141"/>
      <c r="Q24" s="141"/>
      <c r="R24" s="141"/>
      <c r="S24" s="119"/>
      <c r="T24" s="119"/>
      <c r="U24" s="119"/>
      <c r="V24" s="119"/>
      <c r="W24" s="120"/>
      <c r="X24" s="120"/>
      <c r="Y24" s="119"/>
      <c r="Z24" s="119"/>
      <c r="AA24" s="119"/>
      <c r="AB24" s="119"/>
      <c r="AC24" s="119"/>
      <c r="AD24" s="119"/>
      <c r="AE24" s="119"/>
      <c r="AF24" s="119"/>
    </row>
    <row r="25" spans="1:32" x14ac:dyDescent="0.35">
      <c r="A25" s="1"/>
      <c r="B25" s="1"/>
      <c r="C25" s="33"/>
      <c r="D25" s="33"/>
      <c r="E25" s="33"/>
      <c r="F25" s="137"/>
      <c r="G25" s="137"/>
      <c r="H25" s="33"/>
      <c r="I25" s="1"/>
      <c r="J25" s="1"/>
      <c r="K25" s="1"/>
      <c r="L25" s="1"/>
      <c r="M25" s="1"/>
      <c r="N25" s="1"/>
      <c r="O25" s="141"/>
      <c r="P25" s="141"/>
      <c r="Q25" s="141"/>
      <c r="R25" s="141"/>
      <c r="S25" s="184"/>
      <c r="T25" s="139"/>
      <c r="U25" s="139"/>
      <c r="V25" s="139"/>
      <c r="W25" s="140"/>
      <c r="X25" s="140"/>
      <c r="Y25" s="139"/>
      <c r="Z25" s="139"/>
      <c r="AA25" s="139"/>
      <c r="AB25" s="139"/>
      <c r="AC25" s="139"/>
    </row>
    <row r="26" spans="1:32" x14ac:dyDescent="0.35">
      <c r="A26" s="1"/>
      <c r="B26" s="1"/>
      <c r="C26" s="33"/>
      <c r="D26" s="33"/>
      <c r="E26" s="33"/>
      <c r="F26" s="137"/>
      <c r="G26" s="137"/>
      <c r="H26" s="33"/>
      <c r="I26" s="1"/>
      <c r="J26" s="1"/>
      <c r="K26" s="1"/>
      <c r="L26" s="1"/>
      <c r="M26" s="1"/>
      <c r="N26" s="1"/>
      <c r="O26" s="141"/>
      <c r="P26" s="141"/>
      <c r="Q26" s="141"/>
      <c r="R26" s="141"/>
      <c r="S26" s="184"/>
      <c r="T26" s="139"/>
      <c r="U26" s="139"/>
      <c r="V26" s="139"/>
      <c r="W26" s="140"/>
      <c r="X26" s="140"/>
      <c r="Y26" s="139"/>
      <c r="Z26" s="139"/>
      <c r="AA26" s="139"/>
      <c r="AB26" s="139"/>
      <c r="AC26" s="139"/>
    </row>
    <row r="27" spans="1:32" x14ac:dyDescent="0.35">
      <c r="A27" s="33"/>
      <c r="B27" s="33"/>
      <c r="C27" s="33"/>
      <c r="D27" s="33"/>
      <c r="E27" s="33"/>
      <c r="F27" s="137"/>
      <c r="G27" s="137"/>
      <c r="H27" s="33"/>
      <c r="I27" s="1"/>
      <c r="J27" s="1"/>
      <c r="K27" s="1"/>
      <c r="L27" s="1"/>
      <c r="M27" s="1"/>
      <c r="N27" s="1"/>
      <c r="O27" s="141"/>
      <c r="P27" s="141"/>
      <c r="Q27" s="141"/>
      <c r="R27" s="141"/>
      <c r="S27" s="184"/>
      <c r="T27" s="139"/>
      <c r="U27" s="141"/>
      <c r="V27" s="141"/>
      <c r="W27" s="183"/>
    </row>
    <row r="28" spans="1:32" ht="15" customHeight="1" x14ac:dyDescent="0.35">
      <c r="A28" s="33"/>
      <c r="B28" s="33"/>
      <c r="C28" s="33"/>
      <c r="D28" s="33"/>
      <c r="E28" s="33"/>
      <c r="F28" s="137"/>
      <c r="G28" s="137"/>
      <c r="H28" s="33"/>
      <c r="I28" s="1"/>
      <c r="J28" s="1"/>
      <c r="K28" s="1"/>
      <c r="L28" s="1"/>
      <c r="M28" s="1"/>
      <c r="N28" s="1"/>
      <c r="O28" s="141"/>
      <c r="P28" s="141"/>
      <c r="Q28" s="141"/>
      <c r="R28" s="141"/>
      <c r="S28" s="184"/>
      <c r="T28" s="184"/>
      <c r="U28" s="184"/>
      <c r="V28" s="184"/>
      <c r="W28" s="185"/>
      <c r="X28" s="185"/>
      <c r="Y28" s="184"/>
      <c r="Z28" s="184"/>
      <c r="AA28" s="184"/>
      <c r="AB28" s="184"/>
      <c r="AC28" s="184"/>
    </row>
    <row r="29" spans="1:32" ht="15" customHeight="1" x14ac:dyDescent="0.35">
      <c r="A29" s="33"/>
      <c r="B29" s="33"/>
      <c r="C29" s="33"/>
      <c r="D29" s="33"/>
      <c r="E29" s="33"/>
      <c r="F29" s="137"/>
      <c r="G29" s="137"/>
      <c r="H29" s="33"/>
      <c r="I29" s="1"/>
      <c r="J29" s="1"/>
      <c r="K29" s="1"/>
      <c r="L29" s="1"/>
      <c r="M29" s="1"/>
      <c r="N29" s="1"/>
      <c r="O29" s="141"/>
      <c r="P29" s="141"/>
      <c r="Q29" s="141"/>
      <c r="R29" s="141"/>
      <c r="S29" s="184"/>
      <c r="T29" s="184"/>
      <c r="U29" s="184"/>
      <c r="V29" s="184"/>
      <c r="W29" s="185"/>
      <c r="X29" s="185"/>
      <c r="Y29" s="184"/>
      <c r="Z29" s="184"/>
      <c r="AA29" s="184"/>
      <c r="AB29" s="184"/>
      <c r="AC29" s="184"/>
    </row>
    <row r="30" spans="1:32" ht="15" customHeight="1" x14ac:dyDescent="0.35">
      <c r="A30" s="33"/>
      <c r="B30" s="33"/>
      <c r="C30" s="33"/>
      <c r="D30" s="33"/>
      <c r="E30" s="33"/>
      <c r="F30" s="137"/>
      <c r="G30" s="137"/>
      <c r="H30" s="33"/>
      <c r="I30" s="238"/>
      <c r="J30" s="238"/>
      <c r="K30" s="238"/>
      <c r="L30" s="1"/>
      <c r="M30" s="1"/>
      <c r="N30" s="1"/>
      <c r="O30" s="141"/>
      <c r="P30" s="141"/>
      <c r="Q30" s="141"/>
      <c r="R30" s="141"/>
      <c r="S30" s="184"/>
      <c r="T30" s="184"/>
      <c r="U30" s="184"/>
      <c r="V30" s="184"/>
      <c r="W30" s="185"/>
      <c r="X30" s="185"/>
      <c r="Y30" s="184"/>
      <c r="Z30" s="184"/>
      <c r="AA30" s="184"/>
      <c r="AB30" s="184"/>
      <c r="AC30" s="184"/>
    </row>
    <row r="31" spans="1:32" ht="15" customHeight="1" x14ac:dyDescent="0.35">
      <c r="A31" s="33"/>
      <c r="B31" s="33"/>
      <c r="C31" s="33"/>
      <c r="D31" s="33"/>
      <c r="E31" s="33"/>
      <c r="F31" s="137"/>
      <c r="G31" s="137"/>
      <c r="H31" s="33"/>
      <c r="I31" s="238"/>
      <c r="J31" s="238"/>
      <c r="K31" s="238"/>
      <c r="L31" s="1"/>
      <c r="M31" s="1"/>
      <c r="N31" s="1"/>
      <c r="O31" s="141"/>
      <c r="P31" s="141"/>
      <c r="Q31" s="141"/>
      <c r="R31" s="141"/>
      <c r="S31" s="184"/>
      <c r="T31" s="184"/>
      <c r="U31" s="184"/>
      <c r="V31" s="184"/>
      <c r="W31" s="185"/>
      <c r="X31" s="185"/>
      <c r="Y31" s="184"/>
      <c r="Z31" s="184"/>
      <c r="AA31" s="184"/>
      <c r="AB31" s="184"/>
      <c r="AC31" s="184"/>
    </row>
    <row r="32" spans="1:32" ht="15" customHeight="1" x14ac:dyDescent="0.35">
      <c r="A32" s="33"/>
      <c r="B32" s="33"/>
      <c r="C32" s="33"/>
      <c r="D32" s="33"/>
      <c r="E32" s="33"/>
      <c r="F32" s="137"/>
      <c r="G32" s="137"/>
      <c r="H32" s="33"/>
      <c r="I32" s="238"/>
      <c r="J32" s="284" t="str">
        <f>IF($E$3=$T$7,"Please Select an Enrollment Tier from the Drop Down",IF($E$4=$T$13,"Please Select a Salary Tier from the Drop Down",'Analyst Use Only'!Q47))</f>
        <v>Please Select an Enrollment Tier from the Drop Down</v>
      </c>
      <c r="K32" s="284"/>
      <c r="L32" s="284"/>
      <c r="M32" s="237"/>
      <c r="N32" s="1"/>
      <c r="O32" s="141"/>
      <c r="P32" s="141"/>
      <c r="Q32" s="141"/>
      <c r="R32" s="141"/>
      <c r="S32" s="184"/>
      <c r="T32" s="184"/>
      <c r="U32" s="184"/>
      <c r="V32" s="184"/>
      <c r="W32" s="185"/>
      <c r="X32" s="185"/>
      <c r="Y32" s="184"/>
      <c r="Z32" s="184"/>
      <c r="AA32" s="184"/>
      <c r="AB32" s="184"/>
      <c r="AC32" s="184"/>
    </row>
    <row r="33" spans="1:37" ht="15" customHeight="1" x14ac:dyDescent="0.35">
      <c r="A33" s="33"/>
      <c r="B33" s="33"/>
      <c r="C33" s="33"/>
      <c r="D33" s="33"/>
      <c r="E33" s="33"/>
      <c r="F33" s="137"/>
      <c r="G33" s="137"/>
      <c r="H33" s="33"/>
      <c r="I33" s="238"/>
      <c r="J33" s="284"/>
      <c r="K33" s="284"/>
      <c r="L33" s="284"/>
      <c r="M33" s="237"/>
      <c r="N33" s="1"/>
      <c r="O33" s="141"/>
      <c r="P33" s="141"/>
      <c r="Q33" s="141"/>
      <c r="R33" s="141"/>
      <c r="S33" s="141"/>
      <c r="T33" s="141"/>
      <c r="U33" s="141"/>
      <c r="V33" s="141"/>
      <c r="W33" s="183"/>
    </row>
    <row r="34" spans="1:37" ht="15" customHeight="1" x14ac:dyDescent="0.35">
      <c r="A34" s="33"/>
      <c r="B34" s="33"/>
      <c r="C34" s="33"/>
      <c r="D34" s="33"/>
      <c r="E34" s="33"/>
      <c r="F34" s="137"/>
      <c r="G34" s="137"/>
      <c r="H34" s="33"/>
      <c r="I34" s="238"/>
      <c r="J34" s="284"/>
      <c r="K34" s="284"/>
      <c r="L34" s="284"/>
      <c r="M34" s="237"/>
      <c r="N34" s="1"/>
      <c r="O34" s="141"/>
      <c r="P34" s="141"/>
      <c r="Q34" s="141"/>
      <c r="R34" s="141"/>
      <c r="S34" s="141"/>
      <c r="T34" s="141"/>
      <c r="U34" s="141"/>
      <c r="V34" s="141"/>
      <c r="W34" s="183"/>
    </row>
    <row r="35" spans="1:37" ht="15" customHeight="1" x14ac:dyDescent="0.35">
      <c r="A35" s="33"/>
      <c r="B35" s="33"/>
      <c r="C35" s="33"/>
      <c r="D35" s="33"/>
      <c r="E35" s="33"/>
      <c r="F35" s="137"/>
      <c r="G35" s="137"/>
      <c r="H35" s="33"/>
      <c r="I35" s="238"/>
      <c r="J35" s="284"/>
      <c r="K35" s="284"/>
      <c r="L35" s="284"/>
      <c r="M35" s="237"/>
      <c r="N35" s="1"/>
      <c r="O35" s="141"/>
      <c r="P35" s="141"/>
      <c r="Q35" s="141"/>
      <c r="R35" s="141"/>
      <c r="S35" s="141"/>
      <c r="T35" s="141"/>
      <c r="U35" s="141"/>
      <c r="V35" s="141"/>
      <c r="W35" s="183"/>
    </row>
    <row r="36" spans="1:37" ht="15" customHeight="1" x14ac:dyDescent="0.35">
      <c r="A36" s="33"/>
      <c r="B36" s="33"/>
      <c r="C36" s="33"/>
      <c r="D36" s="33"/>
      <c r="E36" s="33"/>
      <c r="F36" s="137"/>
      <c r="G36" s="137"/>
      <c r="H36" s="33"/>
      <c r="I36" s="238"/>
      <c r="J36" s="284"/>
      <c r="K36" s="284"/>
      <c r="L36" s="284"/>
      <c r="M36" s="237"/>
      <c r="N36" s="1"/>
      <c r="O36" s="141"/>
      <c r="P36" s="141"/>
      <c r="Q36" s="141"/>
      <c r="R36" s="141"/>
      <c r="S36" s="141"/>
      <c r="T36" s="141"/>
      <c r="U36" s="141"/>
      <c r="V36" s="141"/>
      <c r="W36" s="183"/>
    </row>
    <row r="37" spans="1:37" ht="15" customHeight="1" x14ac:dyDescent="0.35">
      <c r="A37" s="33"/>
      <c r="B37" s="33"/>
      <c r="C37" s="33"/>
      <c r="D37" s="33"/>
      <c r="E37" s="33"/>
      <c r="F37" s="137"/>
      <c r="G37" s="137"/>
      <c r="H37" s="33"/>
      <c r="I37" s="238"/>
      <c r="J37" s="284"/>
      <c r="K37" s="284"/>
      <c r="L37" s="284"/>
      <c r="M37" s="237"/>
      <c r="N37" s="1"/>
      <c r="O37" s="141"/>
      <c r="P37" s="141"/>
      <c r="Q37" s="141"/>
      <c r="R37" s="141"/>
      <c r="S37" s="141"/>
      <c r="T37" s="141"/>
      <c r="U37" s="141"/>
      <c r="V37" s="141"/>
      <c r="W37" s="183"/>
    </row>
    <row r="38" spans="1:37" ht="15" customHeight="1" x14ac:dyDescent="0.35">
      <c r="A38" s="33"/>
      <c r="B38" s="33"/>
      <c r="C38" s="33"/>
      <c r="D38" s="33"/>
      <c r="E38" s="33"/>
      <c r="F38" s="137"/>
      <c r="G38" s="137"/>
      <c r="H38" s="33"/>
      <c r="I38" s="238"/>
      <c r="J38" s="284"/>
      <c r="K38" s="284"/>
      <c r="L38" s="284"/>
      <c r="M38" s="237"/>
      <c r="N38" s="1"/>
      <c r="O38" s="141"/>
      <c r="P38" s="141"/>
      <c r="Q38" s="141"/>
      <c r="R38" s="141"/>
      <c r="S38" s="141"/>
      <c r="T38" s="141"/>
      <c r="U38" s="141"/>
      <c r="V38" s="141"/>
      <c r="W38" s="183"/>
    </row>
    <row r="39" spans="1:37" ht="15" customHeight="1" x14ac:dyDescent="0.35">
      <c r="A39" s="33"/>
      <c r="B39" s="33"/>
      <c r="C39" s="33"/>
      <c r="D39" s="33"/>
      <c r="E39" s="33"/>
      <c r="F39" s="137"/>
      <c r="G39" s="137"/>
      <c r="H39" s="33"/>
      <c r="I39" s="238"/>
      <c r="J39" s="237"/>
      <c r="K39" s="1"/>
      <c r="L39" s="1"/>
      <c r="M39" s="1"/>
      <c r="N39" s="1"/>
      <c r="O39" s="141"/>
      <c r="P39" s="141"/>
      <c r="Q39" s="141"/>
      <c r="R39" s="141"/>
      <c r="S39" s="141"/>
      <c r="T39" s="141"/>
      <c r="U39" s="141"/>
      <c r="V39" s="141"/>
      <c r="W39" s="183"/>
    </row>
    <row r="40" spans="1:37" x14ac:dyDescent="0.35">
      <c r="A40" s="33"/>
      <c r="B40" s="33"/>
      <c r="C40" s="33"/>
      <c r="D40" s="33"/>
      <c r="E40" s="33"/>
      <c r="F40" s="137"/>
      <c r="G40" s="137"/>
      <c r="H40" s="33"/>
      <c r="I40" s="1"/>
      <c r="J40" s="1"/>
      <c r="K40" s="1"/>
      <c r="L40" s="1"/>
      <c r="M40" s="1"/>
      <c r="N40" s="1"/>
      <c r="O40" s="141"/>
      <c r="P40" s="141"/>
      <c r="Q40" s="141"/>
      <c r="R40" s="141"/>
      <c r="S40" s="141"/>
      <c r="T40" s="141"/>
      <c r="U40" s="141"/>
      <c r="V40" s="141"/>
      <c r="W40" s="183"/>
    </row>
    <row r="41" spans="1:37" x14ac:dyDescent="0.35">
      <c r="A41" s="33"/>
      <c r="B41" s="33"/>
      <c r="C41" s="33"/>
      <c r="D41" s="33"/>
      <c r="E41" s="33"/>
      <c r="F41" s="137"/>
      <c r="G41" s="137"/>
      <c r="H41" s="33"/>
      <c r="I41" s="1"/>
      <c r="J41" s="1"/>
      <c r="K41" s="1"/>
      <c r="L41" s="1"/>
      <c r="M41" s="1"/>
      <c r="N41" s="1"/>
      <c r="O41" s="141"/>
      <c r="P41" s="141"/>
      <c r="Q41" s="141"/>
      <c r="R41" s="141"/>
      <c r="S41" s="141"/>
      <c r="T41" s="141"/>
      <c r="U41" s="141"/>
      <c r="V41" s="141"/>
      <c r="W41" s="183"/>
    </row>
    <row r="42" spans="1:37" x14ac:dyDescent="0.35">
      <c r="A42" s="33"/>
      <c r="B42" s="33"/>
      <c r="C42" s="33"/>
      <c r="D42" s="33"/>
      <c r="E42" s="33"/>
      <c r="F42" s="137"/>
      <c r="G42" s="137"/>
      <c r="H42" s="33"/>
      <c r="I42" s="1"/>
      <c r="J42" s="1"/>
      <c r="K42" s="1"/>
      <c r="L42" s="1"/>
      <c r="M42" s="1"/>
      <c r="N42" s="1"/>
      <c r="O42" s="141"/>
      <c r="P42" s="141"/>
      <c r="Q42" s="141"/>
      <c r="R42" s="141"/>
      <c r="S42" s="141"/>
      <c r="T42" s="141"/>
      <c r="U42" s="141"/>
      <c r="V42" s="141"/>
      <c r="W42" s="183"/>
    </row>
    <row r="43" spans="1:37" x14ac:dyDescent="0.35">
      <c r="A43" s="33"/>
      <c r="B43" s="33"/>
      <c r="C43" s="33"/>
      <c r="D43" s="33"/>
      <c r="E43" s="33"/>
      <c r="F43" s="137"/>
      <c r="G43" s="137"/>
      <c r="H43" s="33"/>
      <c r="I43" s="1"/>
      <c r="J43" s="1"/>
      <c r="K43" s="1"/>
      <c r="L43" s="1"/>
      <c r="M43" s="1"/>
      <c r="N43" s="1"/>
      <c r="O43" s="141"/>
      <c r="P43" s="141"/>
      <c r="Q43" s="141"/>
      <c r="R43" s="141"/>
      <c r="S43" s="141"/>
      <c r="T43" s="141"/>
      <c r="U43" s="141"/>
      <c r="V43" s="141"/>
      <c r="W43" s="183"/>
    </row>
    <row r="44" spans="1:37" x14ac:dyDescent="0.35">
      <c r="A44" s="33"/>
      <c r="B44" s="33"/>
      <c r="C44" s="33"/>
      <c r="D44" s="33"/>
      <c r="E44" s="33"/>
      <c r="F44" s="137"/>
      <c r="G44" s="137"/>
      <c r="H44" s="33"/>
      <c r="I44" s="1"/>
      <c r="J44" s="1"/>
      <c r="K44" s="1"/>
      <c r="L44" s="1"/>
      <c r="M44" s="1"/>
      <c r="N44" s="1"/>
      <c r="O44" s="141"/>
      <c r="P44" s="141"/>
      <c r="Q44" s="141"/>
      <c r="R44" s="141"/>
      <c r="S44" s="141"/>
      <c r="T44" s="141"/>
      <c r="U44" s="141"/>
      <c r="V44" s="141"/>
      <c r="W44" s="183"/>
    </row>
    <row r="45" spans="1:37" x14ac:dyDescent="0.35">
      <c r="A45" s="33"/>
      <c r="B45" s="33"/>
      <c r="C45" s="33"/>
      <c r="D45" s="33"/>
      <c r="E45" s="33"/>
      <c r="F45" s="137"/>
      <c r="G45" s="137"/>
      <c r="H45" s="33"/>
      <c r="I45" s="1"/>
      <c r="J45" s="1"/>
      <c r="K45" s="1"/>
      <c r="L45" s="1"/>
      <c r="M45" s="1"/>
      <c r="N45" s="1"/>
      <c r="O45" s="141"/>
      <c r="P45" s="141"/>
      <c r="Q45" s="141"/>
      <c r="R45" s="141"/>
      <c r="S45" s="141"/>
      <c r="T45" s="141"/>
      <c r="U45" s="141"/>
      <c r="V45" s="141"/>
      <c r="W45" s="183"/>
    </row>
    <row r="46" spans="1:37" ht="23.25" customHeight="1" x14ac:dyDescent="0.35">
      <c r="A46" s="33"/>
      <c r="B46" s="33"/>
      <c r="C46" s="33"/>
      <c r="D46" s="33"/>
      <c r="E46" s="33"/>
      <c r="F46" s="137"/>
      <c r="G46" s="137"/>
      <c r="H46" s="33"/>
      <c r="I46" s="1"/>
      <c r="J46" s="1"/>
      <c r="K46" s="1"/>
      <c r="L46" s="1"/>
      <c r="M46" s="1"/>
      <c r="N46" s="1"/>
      <c r="O46" s="141"/>
      <c r="P46" s="141"/>
      <c r="Q46" s="141"/>
      <c r="R46" s="141"/>
      <c r="S46" s="141"/>
      <c r="T46" s="141"/>
      <c r="U46" s="141"/>
      <c r="V46" s="141"/>
      <c r="W46" s="183"/>
    </row>
    <row r="47" spans="1:37" s="145" customFormat="1" ht="24" customHeight="1" x14ac:dyDescent="0.35">
      <c r="A47" s="143"/>
      <c r="B47" s="143"/>
      <c r="C47" s="143"/>
      <c r="D47" s="274" t="str">
        <f>IF($E$3=$T$7,"Please Select an Enrollment Tier from the Drop Down",IF($E$4=$T$13,"Please Select a Salary Tier from the Drop Down",'Analyst Use Only'!Q45))</f>
        <v>Please Select an Enrollment Tier from the Drop Down</v>
      </c>
      <c r="E47" s="274"/>
      <c r="F47" s="274"/>
      <c r="G47" s="220"/>
      <c r="H47" s="143"/>
      <c r="I47" s="144"/>
      <c r="J47" s="144"/>
      <c r="K47" s="144"/>
      <c r="L47" s="144"/>
      <c r="M47" s="144"/>
      <c r="N47" s="144"/>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row>
    <row r="48" spans="1:37" x14ac:dyDescent="0.35">
      <c r="A48" s="33"/>
      <c r="B48" s="33"/>
      <c r="C48" s="33"/>
      <c r="D48" s="33"/>
      <c r="E48" s="33"/>
      <c r="F48" s="137"/>
      <c r="G48" s="137"/>
      <c r="H48" s="33"/>
      <c r="I48" s="1"/>
      <c r="J48" s="1"/>
      <c r="K48" s="1"/>
      <c r="L48" s="1"/>
      <c r="M48" s="1"/>
      <c r="N48" s="1"/>
      <c r="O48" s="141"/>
      <c r="P48" s="141"/>
      <c r="Q48" s="141"/>
      <c r="R48" s="141"/>
      <c r="S48" s="141"/>
      <c r="T48" s="141"/>
      <c r="U48" s="141"/>
      <c r="V48" s="141"/>
      <c r="W48" s="183"/>
    </row>
    <row r="49" spans="1:23" x14ac:dyDescent="0.35">
      <c r="A49" s="146" t="s">
        <v>263</v>
      </c>
      <c r="B49" s="1"/>
      <c r="C49" s="1"/>
      <c r="D49" s="1"/>
      <c r="E49" s="1"/>
      <c r="F49" s="52"/>
      <c r="G49" s="52"/>
      <c r="H49" s="1"/>
      <c r="I49" s="1"/>
      <c r="J49" s="1"/>
      <c r="K49" s="1"/>
      <c r="L49" s="1"/>
      <c r="M49" s="1"/>
      <c r="N49" s="1"/>
      <c r="O49" s="141"/>
      <c r="P49" s="141"/>
      <c r="Q49" s="141"/>
      <c r="R49" s="141"/>
      <c r="S49" s="141"/>
      <c r="T49" s="141"/>
      <c r="U49" s="141"/>
      <c r="V49" s="141"/>
      <c r="W49" s="183"/>
    </row>
    <row r="50" spans="1:23" ht="15" customHeight="1" x14ac:dyDescent="0.35">
      <c r="A50" s="1" t="s">
        <v>306</v>
      </c>
      <c r="B50" s="1"/>
      <c r="C50" s="1"/>
      <c r="D50" s="1"/>
      <c r="E50" s="1"/>
      <c r="F50" s="1"/>
      <c r="G50" s="1"/>
      <c r="H50" s="1"/>
      <c r="I50" s="1"/>
      <c r="J50" s="1"/>
      <c r="K50" s="1"/>
      <c r="L50" s="1"/>
      <c r="M50" s="1"/>
      <c r="N50" s="1"/>
      <c r="O50" s="141"/>
      <c r="P50" s="141"/>
      <c r="Q50" s="141"/>
      <c r="R50" s="141"/>
      <c r="S50" s="141"/>
      <c r="T50" s="141"/>
      <c r="U50" s="141"/>
      <c r="V50" s="141"/>
      <c r="W50" s="183"/>
    </row>
    <row r="51" spans="1:23" x14ac:dyDescent="0.35">
      <c r="A51" s="1" t="s">
        <v>281</v>
      </c>
      <c r="B51" s="1"/>
      <c r="C51" s="1"/>
      <c r="D51" s="1"/>
      <c r="E51" s="1"/>
      <c r="F51" s="52"/>
      <c r="G51" s="52"/>
      <c r="H51" s="1"/>
      <c r="I51" s="1"/>
      <c r="J51" s="1"/>
      <c r="K51" s="1"/>
      <c r="L51" s="1"/>
      <c r="M51" s="1"/>
      <c r="N51" s="1"/>
      <c r="O51" s="141"/>
      <c r="P51" s="141"/>
      <c r="Q51" s="141"/>
      <c r="R51" s="141"/>
      <c r="S51" s="141"/>
      <c r="T51" s="141"/>
      <c r="U51" s="141"/>
      <c r="V51" s="141"/>
      <c r="W51" s="183"/>
    </row>
    <row r="52" spans="1:23" x14ac:dyDescent="0.35">
      <c r="A52" s="1" t="s">
        <v>286</v>
      </c>
      <c r="B52"/>
      <c r="C52"/>
      <c r="D52"/>
      <c r="E52"/>
      <c r="F52"/>
      <c r="G52"/>
      <c r="H52"/>
      <c r="I52"/>
      <c r="J52"/>
      <c r="K52"/>
      <c r="L52" s="147"/>
      <c r="M52" s="147"/>
      <c r="N52"/>
      <c r="O52" s="141"/>
      <c r="P52" s="141"/>
      <c r="Q52" s="141"/>
      <c r="R52" s="141"/>
      <c r="S52" s="141"/>
      <c r="T52" s="141"/>
      <c r="U52" s="141"/>
      <c r="V52" s="141"/>
      <c r="W52" s="183"/>
    </row>
    <row r="53" spans="1:23" x14ac:dyDescent="0.35">
      <c r="A53" s="1" t="s">
        <v>333</v>
      </c>
      <c r="B53"/>
      <c r="C53"/>
      <c r="D53"/>
      <c r="E53"/>
      <c r="F53"/>
      <c r="G53"/>
      <c r="H53"/>
      <c r="I53"/>
      <c r="J53"/>
      <c r="K53"/>
      <c r="L53" s="147"/>
      <c r="M53" s="147"/>
      <c r="N53"/>
      <c r="O53" s="141"/>
      <c r="P53" s="141"/>
      <c r="Q53" s="141"/>
      <c r="R53" s="141"/>
      <c r="S53" s="141"/>
      <c r="T53" s="141"/>
      <c r="U53" s="141"/>
      <c r="V53" s="141"/>
      <c r="W53" s="183"/>
    </row>
    <row r="54" spans="1:23" ht="15" customHeight="1" x14ac:dyDescent="0.35">
      <c r="A54" s="1" t="s">
        <v>335</v>
      </c>
      <c r="B54"/>
      <c r="C54"/>
      <c r="D54"/>
      <c r="E54"/>
      <c r="F54"/>
      <c r="G54"/>
      <c r="H54"/>
      <c r="I54"/>
      <c r="J54"/>
      <c r="K54"/>
      <c r="L54" s="147"/>
      <c r="M54" s="147"/>
      <c r="N54"/>
      <c r="O54" s="141"/>
      <c r="P54" s="141"/>
      <c r="Q54" s="141"/>
      <c r="R54" s="141"/>
      <c r="S54" s="141"/>
      <c r="T54" s="141"/>
      <c r="U54" s="141"/>
      <c r="V54" s="141"/>
      <c r="W54" s="183"/>
    </row>
    <row r="55" spans="1:23" ht="15" customHeight="1" x14ac:dyDescent="0.35">
      <c r="A55" s="138"/>
      <c r="B55" s="148"/>
      <c r="C55" s="148"/>
      <c r="D55" s="148"/>
      <c r="E55" s="148"/>
      <c r="F55" s="149"/>
      <c r="G55" s="149"/>
      <c r="H55" s="149"/>
      <c r="I55" s="149"/>
      <c r="J55" s="149"/>
      <c r="K55" s="149"/>
      <c r="L55" s="149"/>
      <c r="M55" s="149"/>
      <c r="N55" s="149"/>
      <c r="O55" s="141"/>
      <c r="P55" s="141"/>
      <c r="Q55" s="141"/>
      <c r="R55" s="141"/>
      <c r="S55" s="141"/>
      <c r="T55" s="141"/>
      <c r="U55" s="141"/>
      <c r="V55" s="141"/>
      <c r="W55" s="183"/>
    </row>
    <row r="56" spans="1:23" ht="15" customHeight="1" x14ac:dyDescent="0.35">
      <c r="A56" s="138" t="s">
        <v>39</v>
      </c>
      <c r="B56" s="148"/>
      <c r="C56" s="148"/>
      <c r="D56" s="148"/>
      <c r="E56" s="148"/>
      <c r="F56" s="148"/>
      <c r="G56" s="149"/>
      <c r="H56" s="149"/>
      <c r="I56" s="149"/>
      <c r="J56" s="149"/>
      <c r="K56" s="149"/>
      <c r="L56" s="149"/>
      <c r="M56" s="149"/>
      <c r="N56" s="149"/>
      <c r="O56" s="141"/>
      <c r="P56" s="141"/>
      <c r="Q56" s="141"/>
      <c r="R56" s="141"/>
      <c r="S56" s="141"/>
      <c r="T56" s="141"/>
      <c r="U56" s="141"/>
      <c r="V56" s="141"/>
      <c r="W56" s="183"/>
    </row>
    <row r="57" spans="1:23" ht="15" customHeight="1" x14ac:dyDescent="0.35">
      <c r="B57" s="149"/>
      <c r="C57" s="149"/>
      <c r="D57" s="149"/>
      <c r="E57" s="149"/>
      <c r="F57" s="149"/>
      <c r="G57" s="149"/>
      <c r="H57" s="149"/>
      <c r="I57" s="149"/>
      <c r="J57" s="149"/>
      <c r="K57" s="149"/>
      <c r="L57" s="149"/>
      <c r="M57" s="149"/>
      <c r="N57" s="149"/>
      <c r="O57" s="141"/>
      <c r="P57" s="141"/>
      <c r="Q57" s="141"/>
      <c r="R57" s="141"/>
      <c r="S57" s="141"/>
      <c r="T57" s="141"/>
      <c r="U57" s="141"/>
      <c r="V57" s="141"/>
      <c r="W57" s="183"/>
    </row>
    <row r="58" spans="1:23" ht="15" customHeight="1" x14ac:dyDescent="0.35">
      <c r="A58" s="149"/>
      <c r="B58" s="149"/>
      <c r="C58" s="149"/>
      <c r="D58" s="149"/>
      <c r="E58" s="149"/>
      <c r="F58" s="149"/>
      <c r="G58" s="149"/>
      <c r="H58" s="149"/>
      <c r="I58" s="149"/>
      <c r="J58" s="149"/>
      <c r="K58" s="149"/>
      <c r="L58" s="149"/>
      <c r="M58" s="149"/>
      <c r="N58" s="149"/>
    </row>
  </sheetData>
  <sheetProtection algorithmName="SHA-512" hashValue="BMSe96aNfYRT20dV9mYn9O8MLO4jsN9gA2TYiytqBXgJdFR/WWxxgauoNNEDOGn+ucep3JNrf2X5sm8F3790sQ==" saltValue="jAT3YCrNFFSMIOM7Onc9RA==" spinCount="100000" sheet="1" objects="1" scenarios="1" selectLockedCells="1"/>
  <protectedRanges>
    <protectedRange sqref="E3:E6" name="Range3"/>
    <protectedRange sqref="F9:G19" name="Range2"/>
  </protectedRanges>
  <mergeCells count="7">
    <mergeCell ref="D47:F47"/>
    <mergeCell ref="F7:G7"/>
    <mergeCell ref="I11:L15"/>
    <mergeCell ref="E22:G23"/>
    <mergeCell ref="I16:L18"/>
    <mergeCell ref="D19:D22"/>
    <mergeCell ref="J32:L38"/>
  </mergeCells>
  <conditionalFormatting sqref="F20">
    <cfRule type="cellIs" dxfId="6" priority="4" stopIfTrue="1" operator="notEqual">
      <formula>"Deductible met"</formula>
    </cfRule>
  </conditionalFormatting>
  <conditionalFormatting sqref="F21">
    <cfRule type="expression" dxfId="5" priority="12" stopIfTrue="1">
      <formula>F20&lt;&gt;"Deductible met"</formula>
    </cfRule>
  </conditionalFormatting>
  <conditionalFormatting sqref="G8:G19">
    <cfRule type="expression" dxfId="4" priority="25" stopIfTrue="1">
      <formula>$E$3=$Q$8</formula>
    </cfRule>
  </conditionalFormatting>
  <conditionalFormatting sqref="G20">
    <cfRule type="expression" dxfId="3" priority="21" stopIfTrue="1">
      <formula>$E$3=$V$9</formula>
    </cfRule>
    <cfRule type="cellIs" dxfId="2" priority="22" stopIfTrue="1" operator="notEqual">
      <formula>"Deductible met"</formula>
    </cfRule>
  </conditionalFormatting>
  <conditionalFormatting sqref="G21">
    <cfRule type="expression" dxfId="1" priority="23" stopIfTrue="1">
      <formula>$E$3=$V$9</formula>
    </cfRule>
    <cfRule type="expression" dxfId="0" priority="24" stopIfTrue="1">
      <formula>G20&lt;&gt;"Deductible met"</formula>
    </cfRule>
  </conditionalFormatting>
  <dataValidations count="3">
    <dataValidation type="whole" allowBlank="1" showInputMessage="1" showErrorMessage="1" errorTitle="2014 Maximum HSA Contributions" error="Single: $3,300_x000a_Family: $6,550" sqref="K3:K4" xr:uid="{00000000-0002-0000-0200-000000000000}">
      <formula1>0</formula1>
      <formula2>I1</formula2>
    </dataValidation>
    <dataValidation type="list" allowBlank="1" showErrorMessage="1" sqref="E3" xr:uid="{00000000-0002-0000-0200-000001000000}">
      <formula1>$T$7:$T$11</formula1>
    </dataValidation>
    <dataValidation type="list" allowBlank="1" showErrorMessage="1" sqref="E4" xr:uid="{00000000-0002-0000-0200-000002000000}">
      <formula1>$T$13:$T$17</formula1>
    </dataValidation>
  </dataValidations>
  <pageMargins left="0.2" right="0.2" top="0.5" bottom="0.5" header="0.3" footer="0.3"/>
  <pageSetup scale="68"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59999389629810485"/>
  </sheetPr>
  <dimension ref="A1:E35"/>
  <sheetViews>
    <sheetView workbookViewId="0">
      <selection activeCell="A3" sqref="A3"/>
    </sheetView>
  </sheetViews>
  <sheetFormatPr defaultRowHeight="14.5" x14ac:dyDescent="0.35"/>
  <cols>
    <col min="1" max="1" width="21.08984375" customWidth="1"/>
    <col min="2" max="2" width="21.6328125" customWidth="1"/>
    <col min="3" max="4" width="30.6328125" style="73" customWidth="1"/>
    <col min="5" max="5" width="30.6328125" customWidth="1"/>
  </cols>
  <sheetData>
    <row r="1" spans="1:5" ht="26" x14ac:dyDescent="0.6">
      <c r="A1" s="187" t="str">
        <f>'Tutorial Detail'!A1</f>
        <v>Wright State University</v>
      </c>
      <c r="C1"/>
      <c r="D1"/>
    </row>
    <row r="2" spans="1:5" ht="21" x14ac:dyDescent="0.5">
      <c r="A2" s="100" t="s">
        <v>340</v>
      </c>
      <c r="C2"/>
      <c r="D2"/>
    </row>
    <row r="3" spans="1:5" ht="18.5" x14ac:dyDescent="0.45">
      <c r="A3" s="188" t="s">
        <v>280</v>
      </c>
    </row>
    <row r="5" spans="1:5" ht="21.75" customHeight="1" x14ac:dyDescent="0.35">
      <c r="C5" s="98" t="str">
        <f>'Analyst Use Only'!H8</f>
        <v>PPO 80/20</v>
      </c>
      <c r="D5" s="233" t="str">
        <f>'Analyst Use Only'!Z50</f>
        <v>Blue HPN</v>
      </c>
      <c r="E5" s="99" t="str">
        <f>'Analyst Use Only'!F8</f>
        <v>HDHP</v>
      </c>
    </row>
    <row r="6" spans="1:5" x14ac:dyDescent="0.35">
      <c r="A6" s="81" t="s">
        <v>308</v>
      </c>
      <c r="B6" s="76"/>
      <c r="C6" s="82" t="s">
        <v>309</v>
      </c>
      <c r="D6" s="82" t="s">
        <v>309</v>
      </c>
      <c r="E6" s="82" t="s">
        <v>309</v>
      </c>
    </row>
    <row r="7" spans="1:5" x14ac:dyDescent="0.35">
      <c r="A7" s="81" t="s">
        <v>1</v>
      </c>
      <c r="B7" s="76"/>
      <c r="C7" s="82"/>
      <c r="D7" s="82"/>
      <c r="E7" s="82"/>
    </row>
    <row r="8" spans="1:5" ht="16.5" customHeight="1" x14ac:dyDescent="0.35">
      <c r="A8" s="77"/>
      <c r="B8" s="78" t="s">
        <v>10</v>
      </c>
      <c r="C8" s="83">
        <v>1400</v>
      </c>
      <c r="D8" s="83">
        <v>1150</v>
      </c>
      <c r="E8" s="83">
        <v>3000</v>
      </c>
    </row>
    <row r="9" spans="1:5" ht="16.5" customHeight="1" x14ac:dyDescent="0.35">
      <c r="A9" s="79"/>
      <c r="B9" s="80" t="s">
        <v>11</v>
      </c>
      <c r="C9" s="84">
        <v>2800</v>
      </c>
      <c r="D9" s="84">
        <v>2300</v>
      </c>
      <c r="E9" s="84">
        <v>6000</v>
      </c>
    </row>
    <row r="10" spans="1:5" ht="16.5" customHeight="1" x14ac:dyDescent="0.35">
      <c r="A10" s="81" t="s">
        <v>2</v>
      </c>
      <c r="B10" s="76"/>
      <c r="C10" s="85"/>
      <c r="D10" s="85"/>
      <c r="E10" s="85"/>
    </row>
    <row r="11" spans="1:5" ht="16.5" customHeight="1" x14ac:dyDescent="0.35">
      <c r="A11" s="77"/>
      <c r="B11" s="78" t="s">
        <v>10</v>
      </c>
      <c r="C11" s="83">
        <v>4600</v>
      </c>
      <c r="D11" s="83">
        <v>4600</v>
      </c>
      <c r="E11" s="83">
        <v>3750</v>
      </c>
    </row>
    <row r="12" spans="1:5" ht="16.5" customHeight="1" x14ac:dyDescent="0.35">
      <c r="A12" s="79"/>
      <c r="B12" s="80" t="s">
        <v>11</v>
      </c>
      <c r="C12" s="84">
        <v>9200</v>
      </c>
      <c r="D12" s="84">
        <v>9200</v>
      </c>
      <c r="E12" s="84">
        <v>7500</v>
      </c>
    </row>
    <row r="13" spans="1:5" ht="16.5" customHeight="1" x14ac:dyDescent="0.35">
      <c r="A13" s="89" t="s">
        <v>30</v>
      </c>
      <c r="B13" s="90"/>
      <c r="C13" s="91">
        <v>0.2</v>
      </c>
      <c r="D13" s="91">
        <v>0.2</v>
      </c>
      <c r="E13" s="91">
        <v>0.2</v>
      </c>
    </row>
    <row r="14" spans="1:5" ht="16.5" customHeight="1" x14ac:dyDescent="0.35">
      <c r="A14" s="92" t="s">
        <v>3</v>
      </c>
      <c r="B14" s="93"/>
      <c r="C14" s="94" t="s">
        <v>279</v>
      </c>
      <c r="D14" s="94" t="s">
        <v>279</v>
      </c>
      <c r="E14" s="94" t="s">
        <v>279</v>
      </c>
    </row>
    <row r="15" spans="1:5" ht="16.5" customHeight="1" x14ac:dyDescent="0.35">
      <c r="A15" s="95" t="s">
        <v>4</v>
      </c>
      <c r="C15" s="86" t="s">
        <v>279</v>
      </c>
      <c r="D15" s="86" t="s">
        <v>279</v>
      </c>
      <c r="E15" s="86" t="s">
        <v>279</v>
      </c>
    </row>
    <row r="16" spans="1:5" ht="16.5" customHeight="1" x14ac:dyDescent="0.35">
      <c r="A16" s="96" t="s">
        <v>13</v>
      </c>
      <c r="B16" s="97"/>
      <c r="C16" s="88" t="s">
        <v>279</v>
      </c>
      <c r="D16" s="88" t="s">
        <v>279</v>
      </c>
      <c r="E16" s="88" t="s">
        <v>279</v>
      </c>
    </row>
    <row r="17" spans="1:5" ht="16.5" customHeight="1" x14ac:dyDescent="0.35">
      <c r="A17" s="92" t="s">
        <v>5</v>
      </c>
      <c r="B17" s="93"/>
      <c r="C17" s="94" t="s">
        <v>327</v>
      </c>
      <c r="D17" s="94" t="s">
        <v>326</v>
      </c>
      <c r="E17" s="94" t="s">
        <v>279</v>
      </c>
    </row>
    <row r="18" spans="1:5" ht="16.5" customHeight="1" x14ac:dyDescent="0.35">
      <c r="A18" s="95" t="s">
        <v>14</v>
      </c>
      <c r="C18" s="87" t="s">
        <v>323</v>
      </c>
      <c r="D18" s="87" t="s">
        <v>323</v>
      </c>
      <c r="E18" s="87" t="s">
        <v>279</v>
      </c>
    </row>
    <row r="19" spans="1:5" ht="16.5" customHeight="1" x14ac:dyDescent="0.35">
      <c r="A19" s="95" t="s">
        <v>6</v>
      </c>
      <c r="C19" s="87" t="s">
        <v>312</v>
      </c>
      <c r="D19" s="87" t="s">
        <v>312</v>
      </c>
      <c r="E19" s="86" t="s">
        <v>279</v>
      </c>
    </row>
    <row r="20" spans="1:5" ht="16.5" customHeight="1" x14ac:dyDescent="0.35">
      <c r="A20" s="95" t="s">
        <v>7</v>
      </c>
      <c r="C20" s="86" t="s">
        <v>312</v>
      </c>
      <c r="D20" s="87" t="s">
        <v>312</v>
      </c>
      <c r="E20" s="86" t="s">
        <v>279</v>
      </c>
    </row>
    <row r="21" spans="1:5" ht="16.5" customHeight="1" x14ac:dyDescent="0.35">
      <c r="A21" s="95" t="s">
        <v>15</v>
      </c>
      <c r="C21" s="88" t="s">
        <v>327</v>
      </c>
      <c r="D21" s="88" t="s">
        <v>326</v>
      </c>
      <c r="E21" s="88" t="s">
        <v>279</v>
      </c>
    </row>
    <row r="22" spans="1:5" ht="16.5" customHeight="1" x14ac:dyDescent="0.35">
      <c r="A22" s="101" t="s">
        <v>305</v>
      </c>
      <c r="B22" s="102"/>
      <c r="C22" s="103"/>
      <c r="D22" s="103"/>
      <c r="E22" s="104"/>
    </row>
    <row r="23" spans="1:5" ht="16.5" customHeight="1" x14ac:dyDescent="0.35">
      <c r="A23" s="92" t="s">
        <v>313</v>
      </c>
      <c r="B23" s="93"/>
      <c r="C23" s="94" t="s">
        <v>326</v>
      </c>
      <c r="D23" s="94" t="s">
        <v>310</v>
      </c>
      <c r="E23" s="94" t="s">
        <v>279</v>
      </c>
    </row>
    <row r="24" spans="1:5" ht="16.5" customHeight="1" x14ac:dyDescent="0.35">
      <c r="A24" s="95" t="s">
        <v>315</v>
      </c>
      <c r="C24" s="222" t="s">
        <v>328</v>
      </c>
      <c r="D24" s="222" t="s">
        <v>328</v>
      </c>
      <c r="E24" s="86" t="s">
        <v>279</v>
      </c>
    </row>
    <row r="25" spans="1:5" ht="16.5" customHeight="1" x14ac:dyDescent="0.35">
      <c r="A25" s="96" t="s">
        <v>320</v>
      </c>
      <c r="B25" s="97"/>
      <c r="C25" s="88" t="s">
        <v>329</v>
      </c>
      <c r="D25" s="88" t="s">
        <v>329</v>
      </c>
      <c r="E25" s="88" t="s">
        <v>279</v>
      </c>
    </row>
    <row r="26" spans="1:5" x14ac:dyDescent="0.35">
      <c r="A26" s="74"/>
    </row>
    <row r="27" spans="1:5" ht="15" customHeight="1" x14ac:dyDescent="0.35">
      <c r="A27" s="105" t="s">
        <v>272</v>
      </c>
    </row>
    <row r="28" spans="1:5" x14ac:dyDescent="0.35">
      <c r="A28" s="285" t="s">
        <v>311</v>
      </c>
      <c r="B28" s="285"/>
      <c r="C28" s="285"/>
      <c r="D28" s="285"/>
    </row>
    <row r="29" spans="1:5" x14ac:dyDescent="0.35">
      <c r="A29" s="285"/>
      <c r="B29" s="285"/>
      <c r="C29" s="285"/>
      <c r="D29" s="285"/>
    </row>
    <row r="30" spans="1:5" x14ac:dyDescent="0.35">
      <c r="A30" s="224"/>
      <c r="B30" s="223"/>
      <c r="C30" s="234" t="str">
        <f>C5</f>
        <v>PPO 80/20</v>
      </c>
      <c r="D30" s="234" t="str">
        <f>D5</f>
        <v>Blue HPN</v>
      </c>
    </row>
    <row r="31" spans="1:5" x14ac:dyDescent="0.35">
      <c r="A31" s="193" t="str">
        <f>A24</f>
        <v>Rx Tier 2 (Brand Formulary)**</v>
      </c>
      <c r="B31" s="194"/>
      <c r="C31" s="194" t="s">
        <v>330</v>
      </c>
      <c r="D31" s="194" t="s">
        <v>330</v>
      </c>
    </row>
    <row r="32" spans="1:5" x14ac:dyDescent="0.35">
      <c r="A32" s="193" t="str">
        <f>A25</f>
        <v>Rx Tier 3/4 (Brand Non-Formulary/Specialty)**</v>
      </c>
      <c r="B32" s="194"/>
      <c r="C32" s="194" t="s">
        <v>331</v>
      </c>
      <c r="D32" s="194" t="s">
        <v>331</v>
      </c>
    </row>
    <row r="34" spans="1:4" x14ac:dyDescent="0.35">
      <c r="A34" s="285" t="s">
        <v>332</v>
      </c>
      <c r="B34" s="285"/>
      <c r="C34" s="285"/>
      <c r="D34" s="285"/>
    </row>
    <row r="35" spans="1:4" x14ac:dyDescent="0.35">
      <c r="A35" s="285"/>
      <c r="B35" s="285"/>
      <c r="C35" s="285"/>
      <c r="D35" s="285"/>
    </row>
  </sheetData>
  <sheetProtection algorithmName="SHA-512" hashValue="Q+JIOIgXpglo04uQuEwIl6itXHZ/qOB9g0aGtqqb4POzJt+HbMy1iWFzx0AL3oCqvm5ydZsyPztbYVwW88DXeA==" saltValue="BwNDbhlJTOr12qO4FKFRWQ==" spinCount="100000" sheet="1" objects="1" scenarios="1" selectLockedCells="1" selectUnlockedCells="1"/>
  <mergeCells count="2">
    <mergeCell ref="A34:D35"/>
    <mergeCell ref="A28:D29"/>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W94"/>
  <sheetViews>
    <sheetView workbookViewId="0"/>
  </sheetViews>
  <sheetFormatPr defaultRowHeight="14.5" x14ac:dyDescent="0.35"/>
  <cols>
    <col min="1" max="1" width="71.453125" bestFit="1" customWidth="1"/>
    <col min="2" max="3" width="12.90625" customWidth="1"/>
    <col min="5" max="5" width="47.08984375" bestFit="1" customWidth="1"/>
    <col min="6" max="6" width="13.453125" customWidth="1"/>
    <col min="9" max="9" width="19.54296875" customWidth="1"/>
    <col min="10" max="10" width="15.453125" customWidth="1"/>
    <col min="14" max="14" width="30.36328125" customWidth="1"/>
    <col min="19" max="19" width="11.6328125" bestFit="1" customWidth="1"/>
    <col min="21" max="21" width="62.08984375" bestFit="1" customWidth="1"/>
    <col min="22" max="22" width="11.08984375" customWidth="1"/>
  </cols>
  <sheetData>
    <row r="1" spans="1:23" ht="15" thickBot="1" x14ac:dyDescent="0.4">
      <c r="A1" s="58" t="s">
        <v>42</v>
      </c>
      <c r="B1" s="59">
        <v>1009.11</v>
      </c>
      <c r="E1" s="62" t="s">
        <v>127</v>
      </c>
      <c r="F1" s="62" t="s">
        <v>128</v>
      </c>
    </row>
    <row r="2" spans="1:23" ht="15" thickBot="1" x14ac:dyDescent="0.4">
      <c r="A2" s="58" t="s">
        <v>43</v>
      </c>
      <c r="B2" s="59">
        <v>252.41</v>
      </c>
      <c r="C2" t="s">
        <v>283</v>
      </c>
      <c r="E2" s="58" t="s">
        <v>129</v>
      </c>
      <c r="F2" s="59">
        <v>10493</v>
      </c>
      <c r="G2" t="s">
        <v>283</v>
      </c>
      <c r="I2" s="64" t="s">
        <v>153</v>
      </c>
      <c r="J2" s="64"/>
      <c r="N2" s="58" t="s">
        <v>167</v>
      </c>
      <c r="O2" s="59">
        <v>27.6</v>
      </c>
      <c r="R2" s="58" t="s">
        <v>196</v>
      </c>
      <c r="S2" s="59">
        <v>177.37</v>
      </c>
      <c r="U2" s="58" t="s">
        <v>202</v>
      </c>
      <c r="V2" s="59">
        <v>94.84</v>
      </c>
      <c r="W2" t="s">
        <v>283</v>
      </c>
    </row>
    <row r="3" spans="1:23" ht="15" thickBot="1" x14ac:dyDescent="0.4">
      <c r="A3" s="58" t="s">
        <v>44</v>
      </c>
      <c r="B3" s="59">
        <v>251.42</v>
      </c>
      <c r="C3" t="s">
        <v>283</v>
      </c>
      <c r="E3" s="58" t="s">
        <v>130</v>
      </c>
      <c r="F3" s="59">
        <v>17718</v>
      </c>
      <c r="G3" t="s">
        <v>283</v>
      </c>
      <c r="N3" s="58" t="s">
        <v>168</v>
      </c>
      <c r="O3" s="59">
        <v>33.299999999999997</v>
      </c>
      <c r="R3" s="58" t="s">
        <v>197</v>
      </c>
      <c r="S3" s="59">
        <v>184.9</v>
      </c>
      <c r="U3" s="58" t="s">
        <v>203</v>
      </c>
      <c r="V3" s="59">
        <v>67.98</v>
      </c>
      <c r="W3" t="s">
        <v>283</v>
      </c>
    </row>
    <row r="4" spans="1:23" ht="15" thickBot="1" x14ac:dyDescent="0.4">
      <c r="A4" s="58" t="s">
        <v>45</v>
      </c>
      <c r="B4" s="59">
        <v>619.49</v>
      </c>
      <c r="C4" t="s">
        <v>283</v>
      </c>
      <c r="E4" s="58" t="s">
        <v>131</v>
      </c>
      <c r="F4" s="59">
        <v>26603</v>
      </c>
      <c r="G4" t="s">
        <v>283</v>
      </c>
      <c r="I4" t="s">
        <v>154</v>
      </c>
      <c r="J4">
        <v>14857.652173913044</v>
      </c>
      <c r="N4" s="58" t="s">
        <v>169</v>
      </c>
      <c r="O4" s="59">
        <v>21.75</v>
      </c>
      <c r="R4" s="58" t="s">
        <v>198</v>
      </c>
      <c r="S4" s="59">
        <v>396.23</v>
      </c>
      <c r="U4" s="58" t="s">
        <v>204</v>
      </c>
      <c r="V4" s="59">
        <v>67.98</v>
      </c>
      <c r="W4" t="s">
        <v>283</v>
      </c>
    </row>
    <row r="5" spans="1:23" ht="15" thickBot="1" x14ac:dyDescent="0.4">
      <c r="A5" s="58" t="s">
        <v>46</v>
      </c>
      <c r="B5" s="59">
        <v>1586.93</v>
      </c>
      <c r="C5" t="s">
        <v>283</v>
      </c>
      <c r="E5" s="58" t="s">
        <v>132</v>
      </c>
      <c r="F5" s="59">
        <v>6005</v>
      </c>
      <c r="G5" t="s">
        <v>283</v>
      </c>
      <c r="I5" t="s">
        <v>155</v>
      </c>
      <c r="J5">
        <v>1173.033105431186</v>
      </c>
      <c r="N5" s="58" t="s">
        <v>170</v>
      </c>
      <c r="O5" s="59">
        <v>20.55</v>
      </c>
      <c r="R5" s="58" t="s">
        <v>199</v>
      </c>
      <c r="S5" s="59">
        <v>965.88</v>
      </c>
      <c r="U5" s="58" t="s">
        <v>205</v>
      </c>
      <c r="V5" s="59">
        <v>78.12</v>
      </c>
      <c r="W5" t="s">
        <v>283</v>
      </c>
    </row>
    <row r="6" spans="1:23" ht="15" thickBot="1" x14ac:dyDescent="0.4">
      <c r="A6" s="60" t="s">
        <v>47</v>
      </c>
      <c r="B6" s="59">
        <v>789.78</v>
      </c>
      <c r="C6" t="s">
        <v>283</v>
      </c>
      <c r="E6" s="58" t="s">
        <v>133</v>
      </c>
      <c r="F6" s="59">
        <v>12333</v>
      </c>
      <c r="G6" t="s">
        <v>283</v>
      </c>
      <c r="I6" t="s">
        <v>156</v>
      </c>
      <c r="J6">
        <v>15517</v>
      </c>
      <c r="N6" s="58" t="s">
        <v>171</v>
      </c>
      <c r="O6" s="59">
        <v>25.2</v>
      </c>
      <c r="R6" s="58" t="s">
        <v>200</v>
      </c>
      <c r="S6" s="59">
        <v>2380</v>
      </c>
      <c r="U6" s="58" t="s">
        <v>206</v>
      </c>
      <c r="V6" s="59">
        <v>67.98</v>
      </c>
      <c r="W6" t="s">
        <v>283</v>
      </c>
    </row>
    <row r="7" spans="1:23" ht="15" thickBot="1" x14ac:dyDescent="0.4">
      <c r="A7" s="58" t="s">
        <v>48</v>
      </c>
      <c r="B7" s="59"/>
      <c r="C7" t="s">
        <v>283</v>
      </c>
      <c r="E7" s="58" t="s">
        <v>134</v>
      </c>
      <c r="F7" s="59">
        <v>10013</v>
      </c>
      <c r="G7" t="s">
        <v>283</v>
      </c>
      <c r="I7" t="s">
        <v>157</v>
      </c>
      <c r="J7" t="e">
        <v>#N/A</v>
      </c>
      <c r="N7" s="58" t="s">
        <v>172</v>
      </c>
      <c r="O7" s="59">
        <v>32.549999999999997</v>
      </c>
      <c r="R7" s="58" t="s">
        <v>201</v>
      </c>
      <c r="S7" s="59">
        <v>3532.32</v>
      </c>
      <c r="U7" s="58" t="s">
        <v>207</v>
      </c>
      <c r="V7" s="59">
        <v>67.98</v>
      </c>
      <c r="W7" t="s">
        <v>283</v>
      </c>
    </row>
    <row r="8" spans="1:23" ht="15" thickBot="1" x14ac:dyDescent="0.4">
      <c r="A8" s="60" t="s">
        <v>49</v>
      </c>
      <c r="B8" s="59">
        <v>924.85</v>
      </c>
      <c r="C8" t="s">
        <v>283</v>
      </c>
      <c r="E8" s="58" t="s">
        <v>135</v>
      </c>
      <c r="F8" s="59">
        <v>7287</v>
      </c>
      <c r="G8" t="s">
        <v>283</v>
      </c>
      <c r="I8" t="s">
        <v>158</v>
      </c>
      <c r="J8">
        <v>5625.6691449162945</v>
      </c>
      <c r="N8" s="58" t="s">
        <v>173</v>
      </c>
      <c r="O8" s="59">
        <v>12.9</v>
      </c>
      <c r="S8" s="57">
        <v>1272.7833333333335</v>
      </c>
      <c r="U8" s="58" t="s">
        <v>208</v>
      </c>
      <c r="V8" s="59">
        <v>67.98</v>
      </c>
      <c r="W8" t="s">
        <v>283</v>
      </c>
    </row>
    <row r="9" spans="1:23" ht="15" thickBot="1" x14ac:dyDescent="0.4">
      <c r="A9" s="58" t="s">
        <v>48</v>
      </c>
      <c r="B9" s="59"/>
      <c r="C9" t="s">
        <v>283</v>
      </c>
      <c r="E9" s="58" t="s">
        <v>136</v>
      </c>
      <c r="F9" s="59">
        <v>24625</v>
      </c>
      <c r="G9" t="s">
        <v>283</v>
      </c>
      <c r="I9" t="s">
        <v>159</v>
      </c>
      <c r="J9">
        <v>31648153.328063227</v>
      </c>
      <c r="N9" s="58" t="s">
        <v>174</v>
      </c>
      <c r="O9" s="59">
        <v>8.4</v>
      </c>
      <c r="S9" s="57">
        <v>681.05500000000006</v>
      </c>
      <c r="U9" s="58" t="s">
        <v>209</v>
      </c>
      <c r="V9" s="59">
        <v>78.12</v>
      </c>
      <c r="W9" t="s">
        <v>283</v>
      </c>
    </row>
    <row r="10" spans="1:23" ht="15" thickBot="1" x14ac:dyDescent="0.4">
      <c r="A10" s="60" t="s">
        <v>47</v>
      </c>
      <c r="B10" s="59">
        <v>887.2</v>
      </c>
      <c r="C10" t="s">
        <v>283</v>
      </c>
      <c r="E10" s="58" t="s">
        <v>137</v>
      </c>
      <c r="F10" s="59">
        <v>15517</v>
      </c>
      <c r="G10" t="s">
        <v>283</v>
      </c>
      <c r="I10" t="s">
        <v>160</v>
      </c>
      <c r="J10">
        <v>-0.58550449685018258</v>
      </c>
      <c r="N10" s="58" t="s">
        <v>175</v>
      </c>
      <c r="O10" s="59">
        <v>43.5</v>
      </c>
      <c r="S10">
        <v>1384.0079923854007</v>
      </c>
      <c r="U10" s="58" t="s">
        <v>210</v>
      </c>
      <c r="V10" s="59">
        <v>67.98</v>
      </c>
      <c r="W10" t="s">
        <v>283</v>
      </c>
    </row>
    <row r="11" spans="1:23" ht="15" thickBot="1" x14ac:dyDescent="0.4">
      <c r="A11" s="58" t="s">
        <v>50</v>
      </c>
      <c r="B11" s="59"/>
      <c r="C11" t="s">
        <v>283</v>
      </c>
      <c r="E11" s="58" t="s">
        <v>138</v>
      </c>
      <c r="F11" s="59">
        <v>18921</v>
      </c>
      <c r="G11" t="s">
        <v>283</v>
      </c>
      <c r="I11" t="s">
        <v>161</v>
      </c>
      <c r="J11">
        <v>0.30460895893080209</v>
      </c>
      <c r="N11" s="58" t="s">
        <v>176</v>
      </c>
      <c r="O11" s="59">
        <v>28.5</v>
      </c>
      <c r="U11" s="58" t="s">
        <v>211</v>
      </c>
      <c r="V11" s="59">
        <v>67.98</v>
      </c>
      <c r="W11" t="s">
        <v>283</v>
      </c>
    </row>
    <row r="12" spans="1:23" ht="15" thickBot="1" x14ac:dyDescent="0.4">
      <c r="A12" s="60" t="s">
        <v>49</v>
      </c>
      <c r="B12" s="59">
        <v>1118.2</v>
      </c>
      <c r="C12" t="s">
        <v>283</v>
      </c>
      <c r="E12" s="58" t="s">
        <v>139</v>
      </c>
      <c r="F12" s="59">
        <v>21475</v>
      </c>
      <c r="G12" t="s">
        <v>283</v>
      </c>
      <c r="I12" t="s">
        <v>162</v>
      </c>
      <c r="J12">
        <v>20598</v>
      </c>
      <c r="N12" s="58" t="s">
        <v>177</v>
      </c>
      <c r="O12" s="59">
        <v>23.25</v>
      </c>
      <c r="S12" s="57">
        <v>4040.7993181041347</v>
      </c>
      <c r="U12" s="58" t="s">
        <v>212</v>
      </c>
      <c r="V12" s="59">
        <v>67.98</v>
      </c>
      <c r="W12" t="s">
        <v>283</v>
      </c>
    </row>
    <row r="13" spans="1:23" ht="15" thickBot="1" x14ac:dyDescent="0.4">
      <c r="A13" s="58" t="s">
        <v>50</v>
      </c>
      <c r="B13" s="59"/>
      <c r="C13" t="s">
        <v>283</v>
      </c>
      <c r="E13" s="58" t="s">
        <v>140</v>
      </c>
      <c r="F13" s="59">
        <v>15693</v>
      </c>
      <c r="G13" t="s">
        <v>283</v>
      </c>
      <c r="I13" t="s">
        <v>163</v>
      </c>
      <c r="J13">
        <v>6005</v>
      </c>
      <c r="N13" s="58" t="s">
        <v>178</v>
      </c>
      <c r="O13" s="59">
        <v>29.25</v>
      </c>
      <c r="U13" s="60" t="s">
        <v>213</v>
      </c>
      <c r="V13" s="59">
        <v>67.98</v>
      </c>
      <c r="W13" t="s">
        <v>283</v>
      </c>
    </row>
    <row r="14" spans="1:23" ht="15" thickBot="1" x14ac:dyDescent="0.4">
      <c r="A14" s="60" t="s">
        <v>51</v>
      </c>
      <c r="B14" s="59">
        <v>1133.1300000000001</v>
      </c>
      <c r="C14" t="s">
        <v>283</v>
      </c>
      <c r="E14" s="60" t="s">
        <v>141</v>
      </c>
      <c r="F14" s="59">
        <v>13072</v>
      </c>
      <c r="G14" t="s">
        <v>283</v>
      </c>
      <c r="I14" t="s">
        <v>164</v>
      </c>
      <c r="J14">
        <v>26603</v>
      </c>
      <c r="N14" s="58" t="s">
        <v>179</v>
      </c>
      <c r="O14" s="59">
        <v>130.80000000000001</v>
      </c>
      <c r="U14" s="60" t="s">
        <v>214</v>
      </c>
      <c r="V14" s="59"/>
      <c r="W14" t="s">
        <v>283</v>
      </c>
    </row>
    <row r="15" spans="1:23" ht="15" thickBot="1" x14ac:dyDescent="0.4">
      <c r="A15" s="58" t="s">
        <v>52</v>
      </c>
      <c r="B15" s="59"/>
      <c r="C15" t="s">
        <v>283</v>
      </c>
      <c r="E15" s="58" t="s">
        <v>142</v>
      </c>
      <c r="F15" s="59"/>
      <c r="G15" t="s">
        <v>283</v>
      </c>
      <c r="I15" t="s">
        <v>165</v>
      </c>
      <c r="J15">
        <v>341726</v>
      </c>
      <c r="N15" s="58" t="s">
        <v>180</v>
      </c>
      <c r="O15" s="59">
        <v>9.6</v>
      </c>
      <c r="U15" s="58" t="s">
        <v>215</v>
      </c>
      <c r="V15" s="59"/>
      <c r="W15" t="s">
        <v>283</v>
      </c>
    </row>
    <row r="16" spans="1:23" ht="15" thickBot="1" x14ac:dyDescent="0.4">
      <c r="A16" s="60" t="s">
        <v>53</v>
      </c>
      <c r="B16" s="59">
        <v>628.95000000000005</v>
      </c>
      <c r="C16" t="s">
        <v>283</v>
      </c>
      <c r="E16" s="58"/>
      <c r="F16" s="59"/>
      <c r="G16" t="s">
        <v>283</v>
      </c>
      <c r="I16" s="63" t="s">
        <v>166</v>
      </c>
      <c r="J16" s="63">
        <v>23</v>
      </c>
      <c r="N16" s="58" t="s">
        <v>181</v>
      </c>
      <c r="O16" s="59">
        <v>21.15</v>
      </c>
      <c r="U16" s="58" t="s">
        <v>216</v>
      </c>
      <c r="V16" s="59">
        <v>74.55</v>
      </c>
      <c r="W16" t="s">
        <v>283</v>
      </c>
    </row>
    <row r="17" spans="1:23" ht="15" thickBot="1" x14ac:dyDescent="0.4">
      <c r="A17" s="58" t="s">
        <v>54</v>
      </c>
      <c r="B17" s="59"/>
      <c r="C17" t="s">
        <v>283</v>
      </c>
      <c r="E17" s="58" t="s">
        <v>143</v>
      </c>
      <c r="F17" s="59">
        <v>17550</v>
      </c>
      <c r="G17" t="s">
        <v>283</v>
      </c>
      <c r="N17" s="58" t="s">
        <v>182</v>
      </c>
      <c r="O17" s="59">
        <v>53.4</v>
      </c>
      <c r="U17" s="58" t="s">
        <v>217</v>
      </c>
      <c r="V17" s="59">
        <v>67.98</v>
      </c>
      <c r="W17" t="s">
        <v>283</v>
      </c>
    </row>
    <row r="18" spans="1:23" ht="15" thickBot="1" x14ac:dyDescent="0.4">
      <c r="A18" s="58" t="s">
        <v>55</v>
      </c>
      <c r="B18" s="59">
        <v>1869.37</v>
      </c>
      <c r="C18" t="s">
        <v>283</v>
      </c>
      <c r="E18" s="58" t="s">
        <v>144</v>
      </c>
      <c r="F18" s="59">
        <v>17582</v>
      </c>
      <c r="G18" t="s">
        <v>283</v>
      </c>
      <c r="N18" s="58" t="s">
        <v>183</v>
      </c>
      <c r="O18" s="59">
        <v>129.44999999999999</v>
      </c>
      <c r="U18" s="58" t="s">
        <v>218</v>
      </c>
      <c r="V18" s="59">
        <v>78.12</v>
      </c>
      <c r="W18" t="s">
        <v>283</v>
      </c>
    </row>
    <row r="19" spans="1:23" ht="15" thickBot="1" x14ac:dyDescent="0.4">
      <c r="A19" s="60" t="s">
        <v>56</v>
      </c>
      <c r="B19" s="59">
        <v>3531.44</v>
      </c>
      <c r="C19" t="s">
        <v>283</v>
      </c>
      <c r="E19" s="58" t="s">
        <v>145</v>
      </c>
      <c r="F19" s="59">
        <v>13523</v>
      </c>
      <c r="G19" t="s">
        <v>283</v>
      </c>
      <c r="N19" s="58" t="s">
        <v>184</v>
      </c>
      <c r="O19" s="59">
        <v>52.73</v>
      </c>
      <c r="U19" s="58" t="s">
        <v>219</v>
      </c>
      <c r="V19" s="59">
        <v>67.98</v>
      </c>
      <c r="W19" t="s">
        <v>283</v>
      </c>
    </row>
    <row r="20" spans="1:23" ht="15" thickBot="1" x14ac:dyDescent="0.4">
      <c r="A20" s="58" t="s">
        <v>57</v>
      </c>
      <c r="B20" s="59"/>
      <c r="C20" t="s">
        <v>283</v>
      </c>
      <c r="E20" s="58" t="s">
        <v>146</v>
      </c>
      <c r="F20" s="59">
        <v>10141</v>
      </c>
      <c r="G20" t="s">
        <v>283</v>
      </c>
      <c r="N20" s="58" t="s">
        <v>185</v>
      </c>
      <c r="O20" s="59">
        <v>23.25</v>
      </c>
      <c r="U20" s="58" t="s">
        <v>220</v>
      </c>
      <c r="V20" s="59">
        <v>67.98</v>
      </c>
      <c r="W20" t="s">
        <v>283</v>
      </c>
    </row>
    <row r="21" spans="1:23" ht="15" thickBot="1" x14ac:dyDescent="0.4">
      <c r="A21" s="60" t="s">
        <v>58</v>
      </c>
      <c r="B21" s="59">
        <v>4099.09</v>
      </c>
      <c r="C21" t="s">
        <v>283</v>
      </c>
      <c r="E21" s="58" t="s">
        <v>147</v>
      </c>
      <c r="F21" s="59">
        <v>10673</v>
      </c>
      <c r="G21" t="s">
        <v>283</v>
      </c>
      <c r="N21" s="58" t="s">
        <v>186</v>
      </c>
      <c r="O21" s="59">
        <v>39</v>
      </c>
      <c r="U21" s="58" t="s">
        <v>221</v>
      </c>
      <c r="V21" s="59">
        <v>78.12</v>
      </c>
      <c r="W21" t="s">
        <v>283</v>
      </c>
    </row>
    <row r="22" spans="1:23" ht="15" thickBot="1" x14ac:dyDescent="0.4">
      <c r="A22" s="58" t="s">
        <v>59</v>
      </c>
      <c r="B22" s="59"/>
      <c r="C22" t="s">
        <v>283</v>
      </c>
      <c r="E22" s="58" t="s">
        <v>148</v>
      </c>
      <c r="F22" s="59">
        <v>20833</v>
      </c>
      <c r="G22" t="s">
        <v>283</v>
      </c>
      <c r="N22" s="58" t="s">
        <v>187</v>
      </c>
      <c r="O22" s="59">
        <v>172.35</v>
      </c>
      <c r="U22" s="58" t="s">
        <v>222</v>
      </c>
      <c r="V22" s="59">
        <v>78.12</v>
      </c>
      <c r="W22" t="s">
        <v>283</v>
      </c>
    </row>
    <row r="23" spans="1:23" ht="15" thickBot="1" x14ac:dyDescent="0.4">
      <c r="A23" s="60" t="s">
        <v>60</v>
      </c>
      <c r="B23" s="59">
        <v>2952.08</v>
      </c>
      <c r="C23" t="s">
        <v>283</v>
      </c>
      <c r="E23" s="58"/>
      <c r="F23" s="59"/>
      <c r="G23" t="s">
        <v>283</v>
      </c>
      <c r="N23" s="58" t="s">
        <v>188</v>
      </c>
      <c r="O23" s="59">
        <v>17.55</v>
      </c>
      <c r="U23" s="58" t="s">
        <v>223</v>
      </c>
      <c r="V23" s="59">
        <v>67.98</v>
      </c>
      <c r="W23" t="s">
        <v>283</v>
      </c>
    </row>
    <row r="24" spans="1:23" ht="15" thickBot="1" x14ac:dyDescent="0.4">
      <c r="A24" s="58" t="s">
        <v>61</v>
      </c>
      <c r="B24" s="59"/>
      <c r="C24" t="s">
        <v>283</v>
      </c>
      <c r="E24" s="58" t="s">
        <v>149</v>
      </c>
      <c r="F24" s="59">
        <v>6970</v>
      </c>
      <c r="G24" t="s">
        <v>283</v>
      </c>
      <c r="N24" s="58" t="s">
        <v>189</v>
      </c>
      <c r="O24" s="59">
        <v>79.5</v>
      </c>
      <c r="U24" s="58" t="s">
        <v>224</v>
      </c>
      <c r="V24" s="59">
        <v>78.12</v>
      </c>
      <c r="W24" t="s">
        <v>283</v>
      </c>
    </row>
    <row r="25" spans="1:23" ht="15" thickBot="1" x14ac:dyDescent="0.4">
      <c r="A25" s="60" t="s">
        <v>62</v>
      </c>
      <c r="B25" s="59">
        <v>2323.33</v>
      </c>
      <c r="C25" t="s">
        <v>283</v>
      </c>
      <c r="E25" s="58"/>
      <c r="F25" s="59"/>
      <c r="G25" t="s">
        <v>283</v>
      </c>
      <c r="N25" s="58" t="s">
        <v>190</v>
      </c>
      <c r="O25" s="59">
        <v>41.55</v>
      </c>
      <c r="U25" s="58" t="s">
        <v>225</v>
      </c>
      <c r="V25" s="59">
        <v>67.98</v>
      </c>
      <c r="W25" t="s">
        <v>283</v>
      </c>
    </row>
    <row r="26" spans="1:23" ht="15" thickBot="1" x14ac:dyDescent="0.4">
      <c r="A26" s="58" t="s">
        <v>63</v>
      </c>
      <c r="B26" s="59"/>
      <c r="C26" t="s">
        <v>283</v>
      </c>
      <c r="E26" s="58" t="s">
        <v>150</v>
      </c>
      <c r="F26" s="59">
        <v>16076</v>
      </c>
      <c r="G26" t="s">
        <v>283</v>
      </c>
      <c r="N26" s="58" t="s">
        <v>191</v>
      </c>
      <c r="O26" s="59">
        <v>18.75</v>
      </c>
      <c r="U26" s="58" t="s">
        <v>226</v>
      </c>
      <c r="V26" s="59">
        <v>67.98</v>
      </c>
      <c r="W26" t="s">
        <v>283</v>
      </c>
    </row>
    <row r="27" spans="1:23" ht="15" thickBot="1" x14ac:dyDescent="0.4">
      <c r="A27" s="58" t="s">
        <v>64</v>
      </c>
      <c r="B27" s="59">
        <v>2042.8</v>
      </c>
      <c r="C27" t="s">
        <v>283</v>
      </c>
      <c r="E27" s="58" t="s">
        <v>151</v>
      </c>
      <c r="F27" s="59">
        <v>19277</v>
      </c>
      <c r="G27" t="s">
        <v>283</v>
      </c>
      <c r="N27" s="58" t="s">
        <v>192</v>
      </c>
      <c r="O27" s="59">
        <v>33.6</v>
      </c>
      <c r="U27" s="58" t="s">
        <v>227</v>
      </c>
      <c r="V27" s="59">
        <v>67.98</v>
      </c>
      <c r="W27" t="s">
        <v>283</v>
      </c>
    </row>
    <row r="28" spans="1:23" ht="15" thickBot="1" x14ac:dyDescent="0.4">
      <c r="A28" s="58" t="s">
        <v>65</v>
      </c>
      <c r="B28" s="59">
        <v>98.66</v>
      </c>
      <c r="C28" t="s">
        <v>283</v>
      </c>
      <c r="E28" s="58" t="s">
        <v>152</v>
      </c>
      <c r="F28" s="59">
        <v>9346</v>
      </c>
      <c r="G28" t="s">
        <v>283</v>
      </c>
      <c r="N28" s="58" t="s">
        <v>193</v>
      </c>
      <c r="O28" s="59">
        <v>3.75</v>
      </c>
      <c r="U28" s="58" t="s">
        <v>228</v>
      </c>
      <c r="V28" s="59">
        <v>67.98</v>
      </c>
      <c r="W28" t="s">
        <v>283</v>
      </c>
    </row>
    <row r="29" spans="1:23" ht="15" thickBot="1" x14ac:dyDescent="0.4">
      <c r="A29" s="60" t="s">
        <v>66</v>
      </c>
      <c r="B29" s="59">
        <v>3722.5</v>
      </c>
      <c r="C29" t="s">
        <v>283</v>
      </c>
      <c r="E29" s="58"/>
      <c r="F29" s="59"/>
      <c r="G29" t="s">
        <v>283</v>
      </c>
      <c r="N29" s="58" t="s">
        <v>194</v>
      </c>
      <c r="O29" s="59">
        <v>12.9</v>
      </c>
      <c r="U29" s="58" t="s">
        <v>229</v>
      </c>
      <c r="V29" s="59">
        <v>25.73</v>
      </c>
      <c r="W29" t="s">
        <v>283</v>
      </c>
    </row>
    <row r="30" spans="1:23" ht="15" thickBot="1" x14ac:dyDescent="0.4">
      <c r="A30" s="58" t="s">
        <v>67</v>
      </c>
      <c r="B30" s="59"/>
      <c r="C30" t="s">
        <v>283</v>
      </c>
      <c r="F30" s="61">
        <v>15517</v>
      </c>
      <c r="N30" s="58" t="s">
        <v>195</v>
      </c>
      <c r="O30" s="59">
        <v>34.5</v>
      </c>
      <c r="U30" s="58" t="s">
        <v>230</v>
      </c>
      <c r="V30" s="59">
        <v>82.44</v>
      </c>
      <c r="W30" t="s">
        <v>283</v>
      </c>
    </row>
    <row r="31" spans="1:23" ht="15" thickBot="1" x14ac:dyDescent="0.4">
      <c r="A31" s="60" t="s">
        <v>68</v>
      </c>
      <c r="B31" s="59">
        <v>3674</v>
      </c>
      <c r="C31" t="s">
        <v>283</v>
      </c>
      <c r="F31" s="57">
        <v>5625.6691449162945</v>
      </c>
      <c r="O31" s="57">
        <v>40.709655172413797</v>
      </c>
      <c r="U31" s="58" t="s">
        <v>231</v>
      </c>
      <c r="V31" s="59">
        <v>68.17</v>
      </c>
      <c r="W31" t="s">
        <v>283</v>
      </c>
    </row>
    <row r="32" spans="1:23" ht="15" thickBot="1" x14ac:dyDescent="0.4">
      <c r="A32" s="58" t="s">
        <v>69</v>
      </c>
      <c r="B32" s="59"/>
      <c r="C32" t="s">
        <v>283</v>
      </c>
      <c r="F32" s="57">
        <v>11251.338289832589</v>
      </c>
      <c r="U32" s="58" t="s">
        <v>232</v>
      </c>
      <c r="V32" s="59">
        <v>67.98</v>
      </c>
      <c r="W32" t="s">
        <v>283</v>
      </c>
    </row>
    <row r="33" spans="1:23" ht="15" thickBot="1" x14ac:dyDescent="0.4">
      <c r="A33" s="58" t="s">
        <v>70</v>
      </c>
      <c r="B33" s="59">
        <v>954.48</v>
      </c>
      <c r="C33" t="s">
        <v>283</v>
      </c>
      <c r="F33" s="57">
        <v>26768.338289832587</v>
      </c>
      <c r="N33" s="57">
        <v>40.709655172413797</v>
      </c>
      <c r="O33" s="57">
        <v>28.5</v>
      </c>
      <c r="U33" s="58" t="s">
        <v>233</v>
      </c>
      <c r="V33" s="59">
        <v>67.98</v>
      </c>
      <c r="W33" t="s">
        <v>283</v>
      </c>
    </row>
    <row r="34" spans="1:23" ht="15" thickBot="1" x14ac:dyDescent="0.4">
      <c r="A34" s="60" t="s">
        <v>71</v>
      </c>
      <c r="B34" s="59">
        <v>491.31</v>
      </c>
      <c r="C34" t="s">
        <v>283</v>
      </c>
      <c r="O34">
        <v>39.526921520361874</v>
      </c>
      <c r="U34" s="58" t="s">
        <v>234</v>
      </c>
      <c r="V34" s="59">
        <v>67.98</v>
      </c>
      <c r="W34" t="s">
        <v>283</v>
      </c>
    </row>
    <row r="35" spans="1:23" ht="15" thickBot="1" x14ac:dyDescent="0.4">
      <c r="A35" s="58" t="s">
        <v>72</v>
      </c>
      <c r="B35" s="59"/>
      <c r="C35" t="s">
        <v>283</v>
      </c>
      <c r="F35" s="61">
        <v>14857.652173913044</v>
      </c>
      <c r="O35">
        <v>79.053843040723748</v>
      </c>
      <c r="U35" s="58" t="s">
        <v>235</v>
      </c>
      <c r="V35" s="59">
        <v>73.62</v>
      </c>
      <c r="W35" t="s">
        <v>283</v>
      </c>
    </row>
    <row r="36" spans="1:23" ht="15" thickBot="1" x14ac:dyDescent="0.4">
      <c r="A36" s="60" t="s">
        <v>73</v>
      </c>
      <c r="B36" s="59">
        <v>1666.67</v>
      </c>
      <c r="C36" t="s">
        <v>283</v>
      </c>
      <c r="U36" s="58" t="s">
        <v>236</v>
      </c>
      <c r="V36" s="59">
        <v>67.98</v>
      </c>
      <c r="W36" t="s">
        <v>283</v>
      </c>
    </row>
    <row r="37" spans="1:23" ht="15" thickBot="1" x14ac:dyDescent="0.4">
      <c r="A37" s="58" t="s">
        <v>74</v>
      </c>
      <c r="B37" s="59"/>
      <c r="C37" t="s">
        <v>283</v>
      </c>
      <c r="F37" s="57">
        <v>4265.661710167411</v>
      </c>
      <c r="U37" s="58" t="s">
        <v>237</v>
      </c>
      <c r="V37" s="59">
        <v>67.98</v>
      </c>
      <c r="W37" t="s">
        <v>283</v>
      </c>
    </row>
    <row r="38" spans="1:23" ht="15" thickBot="1" x14ac:dyDescent="0.4">
      <c r="A38" s="58" t="s">
        <v>75</v>
      </c>
      <c r="B38" s="59"/>
      <c r="C38" t="s">
        <v>283</v>
      </c>
      <c r="N38" t="s">
        <v>255</v>
      </c>
      <c r="U38" s="58" t="s">
        <v>238</v>
      </c>
      <c r="V38" s="59">
        <v>37.369999999999997</v>
      </c>
      <c r="W38" t="s">
        <v>283</v>
      </c>
    </row>
    <row r="39" spans="1:23" ht="15" thickBot="1" x14ac:dyDescent="0.4">
      <c r="A39" s="58" t="s">
        <v>76</v>
      </c>
      <c r="B39" s="59"/>
      <c r="C39" t="s">
        <v>283</v>
      </c>
      <c r="U39" s="58" t="s">
        <v>224</v>
      </c>
      <c r="V39" s="59">
        <v>78.12</v>
      </c>
      <c r="W39" t="s">
        <v>283</v>
      </c>
    </row>
    <row r="40" spans="1:23" ht="15" thickBot="1" x14ac:dyDescent="0.4">
      <c r="A40" s="58" t="s">
        <v>77</v>
      </c>
      <c r="B40" s="59">
        <v>4156.7700000000004</v>
      </c>
      <c r="C40" t="s">
        <v>283</v>
      </c>
      <c r="N40">
        <v>40</v>
      </c>
      <c r="O40">
        <v>100</v>
      </c>
      <c r="U40" s="58" t="s">
        <v>239</v>
      </c>
      <c r="V40" s="59">
        <v>67.98</v>
      </c>
      <c r="W40" t="s">
        <v>283</v>
      </c>
    </row>
    <row r="41" spans="1:23" ht="15" thickBot="1" x14ac:dyDescent="0.4">
      <c r="A41" s="58" t="s">
        <v>78</v>
      </c>
      <c r="B41" s="59">
        <v>1295.3399999999999</v>
      </c>
      <c r="C41" t="s">
        <v>283</v>
      </c>
      <c r="N41">
        <v>75</v>
      </c>
      <c r="O41">
        <v>225</v>
      </c>
      <c r="U41" s="58" t="s">
        <v>240</v>
      </c>
      <c r="V41" s="59">
        <v>67.98</v>
      </c>
      <c r="W41" t="s">
        <v>283</v>
      </c>
    </row>
    <row r="42" spans="1:23" ht="15" thickBot="1" x14ac:dyDescent="0.4">
      <c r="A42" s="60" t="s">
        <v>79</v>
      </c>
      <c r="B42" s="59">
        <v>2651.48</v>
      </c>
      <c r="C42" t="s">
        <v>283</v>
      </c>
      <c r="N42">
        <v>25</v>
      </c>
      <c r="O42">
        <v>100</v>
      </c>
      <c r="U42" s="58" t="s">
        <v>241</v>
      </c>
      <c r="V42" s="59">
        <v>67.98</v>
      </c>
      <c r="W42" t="s">
        <v>283</v>
      </c>
    </row>
    <row r="43" spans="1:23" ht="15" thickBot="1" x14ac:dyDescent="0.4">
      <c r="A43" s="58" t="s">
        <v>80</v>
      </c>
      <c r="B43" s="59"/>
      <c r="C43" t="s">
        <v>283</v>
      </c>
      <c r="N43">
        <v>100</v>
      </c>
      <c r="O43">
        <v>600</v>
      </c>
      <c r="U43" s="58" t="s">
        <v>242</v>
      </c>
      <c r="V43" s="59">
        <v>74.55</v>
      </c>
      <c r="W43" t="s">
        <v>283</v>
      </c>
    </row>
    <row r="44" spans="1:23" ht="15" thickBot="1" x14ac:dyDescent="0.4">
      <c r="A44" s="58" t="s">
        <v>81</v>
      </c>
      <c r="B44" s="59">
        <v>3902.91</v>
      </c>
      <c r="C44" t="s">
        <v>283</v>
      </c>
      <c r="N44">
        <v>5</v>
      </c>
      <c r="O44">
        <v>20</v>
      </c>
      <c r="U44" s="58" t="s">
        <v>243</v>
      </c>
      <c r="V44" s="59">
        <v>67.98</v>
      </c>
      <c r="W44" t="s">
        <v>283</v>
      </c>
    </row>
    <row r="45" spans="1:23" ht="15" thickBot="1" x14ac:dyDescent="0.4">
      <c r="A45" s="58" t="s">
        <v>82</v>
      </c>
      <c r="B45" s="59">
        <v>3562.18</v>
      </c>
      <c r="C45" t="s">
        <v>283</v>
      </c>
      <c r="N45">
        <v>5</v>
      </c>
      <c r="O45">
        <v>15</v>
      </c>
      <c r="U45" s="58" t="s">
        <v>244</v>
      </c>
      <c r="V45" s="59">
        <v>78.12</v>
      </c>
      <c r="W45" t="s">
        <v>283</v>
      </c>
    </row>
    <row r="46" spans="1:23" ht="15" thickBot="1" x14ac:dyDescent="0.4">
      <c r="A46" s="58" t="s">
        <v>83</v>
      </c>
      <c r="B46" s="59">
        <v>4543.1000000000004</v>
      </c>
      <c r="C46" t="s">
        <v>284</v>
      </c>
      <c r="N46">
        <v>15</v>
      </c>
      <c r="O46">
        <v>30</v>
      </c>
      <c r="U46" s="58" t="s">
        <v>245</v>
      </c>
      <c r="V46" s="59">
        <v>67.98</v>
      </c>
      <c r="W46" t="s">
        <v>283</v>
      </c>
    </row>
    <row r="47" spans="1:23" ht="15" thickBot="1" x14ac:dyDescent="0.4">
      <c r="A47" s="58" t="s">
        <v>84</v>
      </c>
      <c r="B47" s="59">
        <v>3709.17</v>
      </c>
      <c r="C47" t="s">
        <v>283</v>
      </c>
      <c r="U47" s="58" t="s">
        <v>246</v>
      </c>
      <c r="V47" s="59">
        <v>45.26</v>
      </c>
      <c r="W47" t="s">
        <v>283</v>
      </c>
    </row>
    <row r="48" spans="1:23" ht="15" thickBot="1" x14ac:dyDescent="0.4">
      <c r="A48" s="58" t="s">
        <v>85</v>
      </c>
      <c r="B48" s="59">
        <v>2765.09</v>
      </c>
      <c r="C48" t="s">
        <v>283</v>
      </c>
      <c r="N48">
        <v>96.785714285714292</v>
      </c>
      <c r="U48" s="58" t="s">
        <v>247</v>
      </c>
      <c r="V48" s="59">
        <v>38.31</v>
      </c>
      <c r="W48" t="s">
        <v>283</v>
      </c>
    </row>
    <row r="49" spans="1:23" ht="15" thickBot="1" x14ac:dyDescent="0.4">
      <c r="A49" s="58" t="s">
        <v>86</v>
      </c>
      <c r="B49" s="59">
        <v>750.5</v>
      </c>
      <c r="C49" t="s">
        <v>283</v>
      </c>
      <c r="U49" s="58" t="s">
        <v>248</v>
      </c>
      <c r="V49" s="59">
        <v>46.01</v>
      </c>
      <c r="W49" t="s">
        <v>283</v>
      </c>
    </row>
    <row r="50" spans="1:23" ht="15" thickBot="1" x14ac:dyDescent="0.4">
      <c r="A50" s="58" t="s">
        <v>87</v>
      </c>
      <c r="B50" s="59">
        <v>1707.41</v>
      </c>
      <c r="C50" t="s">
        <v>283</v>
      </c>
      <c r="U50" s="58" t="s">
        <v>249</v>
      </c>
      <c r="V50" s="59">
        <v>25.73</v>
      </c>
      <c r="W50" t="s">
        <v>283</v>
      </c>
    </row>
    <row r="51" spans="1:23" ht="15" thickBot="1" x14ac:dyDescent="0.4">
      <c r="A51" s="58" t="s">
        <v>88</v>
      </c>
      <c r="B51" s="59">
        <v>1147.06</v>
      </c>
      <c r="C51" t="s">
        <v>283</v>
      </c>
      <c r="U51" s="58" t="s">
        <v>250</v>
      </c>
      <c r="V51" s="59">
        <v>123</v>
      </c>
      <c r="W51" t="s">
        <v>285</v>
      </c>
    </row>
    <row r="52" spans="1:23" ht="15" thickBot="1" x14ac:dyDescent="0.4">
      <c r="A52" s="58" t="s">
        <v>89</v>
      </c>
      <c r="B52" s="59">
        <v>1094.0899999999999</v>
      </c>
      <c r="C52" t="s">
        <v>283</v>
      </c>
      <c r="U52" s="58"/>
      <c r="V52" s="59"/>
      <c r="W52" t="s">
        <v>283</v>
      </c>
    </row>
    <row r="53" spans="1:23" ht="15" thickBot="1" x14ac:dyDescent="0.4">
      <c r="A53" s="58" t="s">
        <v>90</v>
      </c>
      <c r="B53" s="59">
        <v>742.14</v>
      </c>
      <c r="C53" t="s">
        <v>283</v>
      </c>
      <c r="U53" s="58"/>
      <c r="V53" s="59"/>
      <c r="W53" t="s">
        <v>283</v>
      </c>
    </row>
    <row r="54" spans="1:23" ht="15" thickBot="1" x14ac:dyDescent="0.4">
      <c r="A54" s="58" t="s">
        <v>91</v>
      </c>
      <c r="B54" s="59">
        <v>762.92</v>
      </c>
      <c r="C54" t="s">
        <v>283</v>
      </c>
      <c r="U54" s="58"/>
      <c r="V54" s="59"/>
      <c r="W54" t="s">
        <v>283</v>
      </c>
    </row>
    <row r="55" spans="1:23" ht="15" thickBot="1" x14ac:dyDescent="0.4">
      <c r="A55" s="58" t="s">
        <v>92</v>
      </c>
      <c r="B55" s="59">
        <v>1172.23</v>
      </c>
      <c r="C55" t="s">
        <v>283</v>
      </c>
      <c r="U55" s="58" t="s">
        <v>251</v>
      </c>
      <c r="V55" s="59">
        <v>73.8</v>
      </c>
      <c r="W55" t="s">
        <v>283</v>
      </c>
    </row>
    <row r="56" spans="1:23" ht="15" thickBot="1" x14ac:dyDescent="0.4">
      <c r="A56" s="60" t="s">
        <v>93</v>
      </c>
      <c r="B56" s="59">
        <v>1127.76</v>
      </c>
      <c r="C56" t="s">
        <v>283</v>
      </c>
      <c r="U56" s="58"/>
      <c r="V56" s="59"/>
      <c r="W56" t="s">
        <v>283</v>
      </c>
    </row>
    <row r="57" spans="1:23" ht="15" thickBot="1" x14ac:dyDescent="0.4">
      <c r="A57" s="58" t="s">
        <v>94</v>
      </c>
      <c r="B57" s="59"/>
      <c r="C57" t="s">
        <v>283</v>
      </c>
      <c r="U57" s="58" t="s">
        <v>252</v>
      </c>
      <c r="V57" s="59">
        <v>135.30000000000001</v>
      </c>
      <c r="W57" t="s">
        <v>285</v>
      </c>
    </row>
    <row r="58" spans="1:23" ht="15" thickBot="1" x14ac:dyDescent="0.4">
      <c r="A58" s="60" t="s">
        <v>93</v>
      </c>
      <c r="B58" s="59">
        <v>1276.9100000000001</v>
      </c>
      <c r="C58" t="s">
        <v>283</v>
      </c>
      <c r="U58" s="58" t="s">
        <v>253</v>
      </c>
      <c r="V58" s="59">
        <v>108</v>
      </c>
      <c r="W58" t="s">
        <v>283</v>
      </c>
    </row>
    <row r="59" spans="1:23" ht="15" thickBot="1" x14ac:dyDescent="0.4">
      <c r="A59" s="58" t="s">
        <v>95</v>
      </c>
      <c r="B59" s="59"/>
      <c r="C59" t="s">
        <v>283</v>
      </c>
      <c r="U59" s="58"/>
      <c r="V59" s="59"/>
      <c r="W59" t="s">
        <v>283</v>
      </c>
    </row>
    <row r="60" spans="1:23" ht="15" thickBot="1" x14ac:dyDescent="0.4">
      <c r="A60" s="60" t="s">
        <v>96</v>
      </c>
      <c r="B60" s="59">
        <v>1157.46</v>
      </c>
      <c r="C60" t="s">
        <v>283</v>
      </c>
      <c r="U60" s="58"/>
      <c r="V60" s="59"/>
      <c r="W60" t="s">
        <v>283</v>
      </c>
    </row>
    <row r="61" spans="1:23" ht="15" thickBot="1" x14ac:dyDescent="0.4">
      <c r="A61" s="58" t="s">
        <v>97</v>
      </c>
      <c r="B61" s="59"/>
      <c r="C61" t="s">
        <v>283</v>
      </c>
      <c r="U61" s="58" t="s">
        <v>254</v>
      </c>
      <c r="V61" s="59">
        <v>153.44999999999999</v>
      </c>
      <c r="W61" t="s">
        <v>285</v>
      </c>
    </row>
    <row r="62" spans="1:23" ht="15" thickBot="1" x14ac:dyDescent="0.4">
      <c r="A62" s="58" t="s">
        <v>98</v>
      </c>
      <c r="B62" s="59">
        <v>1401.46</v>
      </c>
      <c r="C62" t="s">
        <v>283</v>
      </c>
      <c r="U62" s="58"/>
      <c r="V62" s="59"/>
      <c r="W62" t="s">
        <v>283</v>
      </c>
    </row>
    <row r="63" spans="1:23" ht="15" thickBot="1" x14ac:dyDescent="0.4">
      <c r="A63" s="60" t="s">
        <v>99</v>
      </c>
      <c r="B63" s="59">
        <v>1647.51</v>
      </c>
      <c r="C63" t="s">
        <v>283</v>
      </c>
      <c r="U63" s="58"/>
      <c r="V63" s="59"/>
      <c r="W63" t="s">
        <v>283</v>
      </c>
    </row>
    <row r="64" spans="1:23" ht="15" thickBot="1" x14ac:dyDescent="0.4">
      <c r="A64" s="58" t="s">
        <v>100</v>
      </c>
      <c r="B64" s="59"/>
      <c r="C64" t="s">
        <v>283</v>
      </c>
      <c r="U64" s="58"/>
      <c r="V64" s="59"/>
      <c r="W64" t="s">
        <v>283</v>
      </c>
    </row>
    <row r="65" spans="1:22" ht="15" thickBot="1" x14ac:dyDescent="0.4">
      <c r="A65" s="60" t="s">
        <v>101</v>
      </c>
      <c r="B65" s="59">
        <v>4608.0600000000004</v>
      </c>
      <c r="C65" t="s">
        <v>284</v>
      </c>
      <c r="V65" s="57">
        <v>71.933653846153859</v>
      </c>
    </row>
    <row r="66" spans="1:22" ht="15" thickBot="1" x14ac:dyDescent="0.4">
      <c r="A66" s="58" t="s">
        <v>102</v>
      </c>
      <c r="B66" s="59"/>
      <c r="C66" t="s">
        <v>283</v>
      </c>
      <c r="V66" s="57">
        <v>67.98</v>
      </c>
    </row>
    <row r="67" spans="1:22" ht="15" thickBot="1" x14ac:dyDescent="0.4">
      <c r="A67" s="58" t="s">
        <v>103</v>
      </c>
      <c r="B67" s="59">
        <v>3910.84</v>
      </c>
      <c r="C67" t="s">
        <v>283</v>
      </c>
      <c r="V67" s="57">
        <v>21.667954836111893</v>
      </c>
    </row>
    <row r="68" spans="1:22" ht="15" thickBot="1" x14ac:dyDescent="0.4">
      <c r="A68" s="58" t="s">
        <v>104</v>
      </c>
      <c r="B68" s="59">
        <v>1691.44</v>
      </c>
      <c r="C68" t="s">
        <v>283</v>
      </c>
      <c r="V68" s="57">
        <v>43.335909672223785</v>
      </c>
    </row>
    <row r="69" spans="1:22" ht="15" thickBot="1" x14ac:dyDescent="0.4">
      <c r="A69" s="58" t="s">
        <v>105</v>
      </c>
      <c r="B69" s="59">
        <v>3279.96</v>
      </c>
      <c r="C69" t="s">
        <v>283</v>
      </c>
      <c r="V69" s="57">
        <v>111.3159096722238</v>
      </c>
    </row>
    <row r="70" spans="1:22" ht="15" thickBot="1" x14ac:dyDescent="0.4">
      <c r="A70" s="58" t="s">
        <v>106</v>
      </c>
      <c r="B70" s="59">
        <v>1135.44</v>
      </c>
      <c r="C70" t="s">
        <v>283</v>
      </c>
      <c r="V70" s="57"/>
    </row>
    <row r="71" spans="1:22" ht="15" thickBot="1" x14ac:dyDescent="0.4">
      <c r="A71" s="58" t="s">
        <v>107</v>
      </c>
      <c r="B71" s="59">
        <v>379.13</v>
      </c>
      <c r="C71" t="s">
        <v>283</v>
      </c>
      <c r="V71" s="57"/>
    </row>
    <row r="72" spans="1:22" ht="15" thickBot="1" x14ac:dyDescent="0.4">
      <c r="A72" s="58" t="s">
        <v>108</v>
      </c>
      <c r="B72" s="59"/>
      <c r="C72" t="s">
        <v>283</v>
      </c>
      <c r="V72" s="57"/>
    </row>
    <row r="73" spans="1:22" ht="15" thickBot="1" x14ac:dyDescent="0.4">
      <c r="A73" s="60" t="s">
        <v>109</v>
      </c>
      <c r="B73" s="59">
        <v>3061.65</v>
      </c>
      <c r="C73" t="s">
        <v>283</v>
      </c>
    </row>
    <row r="74" spans="1:22" ht="15" thickBot="1" x14ac:dyDescent="0.4">
      <c r="A74" s="58" t="s">
        <v>110</v>
      </c>
      <c r="B74" s="59"/>
      <c r="C74" t="s">
        <v>283</v>
      </c>
    </row>
    <row r="75" spans="1:22" ht="15" thickBot="1" x14ac:dyDescent="0.4">
      <c r="A75" s="58" t="s">
        <v>111</v>
      </c>
      <c r="B75" s="59">
        <v>4646.8500000000004</v>
      </c>
      <c r="C75" t="s">
        <v>284</v>
      </c>
    </row>
    <row r="76" spans="1:22" ht="15" thickBot="1" x14ac:dyDescent="0.4">
      <c r="A76" s="58" t="s">
        <v>112</v>
      </c>
      <c r="B76" s="59"/>
      <c r="C76" t="s">
        <v>283</v>
      </c>
    </row>
    <row r="77" spans="1:22" ht="15" thickBot="1" x14ac:dyDescent="0.4">
      <c r="A77" s="58" t="s">
        <v>113</v>
      </c>
      <c r="B77" s="59">
        <v>4358.78</v>
      </c>
      <c r="C77" t="s">
        <v>284</v>
      </c>
    </row>
    <row r="78" spans="1:22" ht="15" thickBot="1" x14ac:dyDescent="0.4">
      <c r="A78" s="58" t="s">
        <v>114</v>
      </c>
      <c r="B78" s="59">
        <v>4467.76</v>
      </c>
      <c r="C78" t="s">
        <v>284</v>
      </c>
    </row>
    <row r="79" spans="1:22" ht="15" thickBot="1" x14ac:dyDescent="0.4">
      <c r="A79" s="58" t="s">
        <v>115</v>
      </c>
      <c r="B79" s="59">
        <v>2767.42</v>
      </c>
      <c r="C79" t="s">
        <v>283</v>
      </c>
    </row>
    <row r="80" spans="1:22" ht="15" thickBot="1" x14ac:dyDescent="0.4">
      <c r="A80" s="58" t="s">
        <v>116</v>
      </c>
      <c r="B80" s="59">
        <v>568.78</v>
      </c>
      <c r="C80" t="s">
        <v>283</v>
      </c>
    </row>
    <row r="81" spans="1:3" ht="15" thickBot="1" x14ac:dyDescent="0.4">
      <c r="A81" s="58" t="s">
        <v>117</v>
      </c>
      <c r="B81" s="59">
        <v>1123.25</v>
      </c>
      <c r="C81" t="s">
        <v>283</v>
      </c>
    </row>
    <row r="82" spans="1:3" ht="15" thickBot="1" x14ac:dyDescent="0.4">
      <c r="A82" s="60" t="s">
        <v>118</v>
      </c>
      <c r="B82" s="59">
        <v>2528.3200000000002</v>
      </c>
      <c r="C82" t="s">
        <v>283</v>
      </c>
    </row>
    <row r="83" spans="1:3" ht="15" thickBot="1" x14ac:dyDescent="0.4">
      <c r="A83" s="58" t="s">
        <v>119</v>
      </c>
      <c r="B83" s="59"/>
      <c r="C83" t="s">
        <v>283</v>
      </c>
    </row>
    <row r="84" spans="1:3" ht="15" thickBot="1" x14ac:dyDescent="0.4">
      <c r="A84" s="60" t="s">
        <v>120</v>
      </c>
      <c r="B84" s="59">
        <v>2849.52</v>
      </c>
      <c r="C84" t="s">
        <v>283</v>
      </c>
    </row>
    <row r="85" spans="1:3" ht="15" thickBot="1" x14ac:dyDescent="0.4">
      <c r="A85" s="58" t="s">
        <v>121</v>
      </c>
      <c r="B85" s="59"/>
      <c r="C85" t="s">
        <v>283</v>
      </c>
    </row>
    <row r="86" spans="1:3" ht="15" thickBot="1" x14ac:dyDescent="0.4">
      <c r="A86" s="58" t="s">
        <v>122</v>
      </c>
      <c r="B86" s="59">
        <v>3138.28</v>
      </c>
      <c r="C86" t="s">
        <v>283</v>
      </c>
    </row>
    <row r="87" spans="1:3" ht="15" thickBot="1" x14ac:dyDescent="0.4">
      <c r="A87" s="60" t="s">
        <v>123</v>
      </c>
      <c r="B87" s="59">
        <v>1151.31</v>
      </c>
      <c r="C87" t="s">
        <v>283</v>
      </c>
    </row>
    <row r="88" spans="1:3" ht="15" thickBot="1" x14ac:dyDescent="0.4">
      <c r="A88" s="58" t="s">
        <v>124</v>
      </c>
      <c r="B88" s="59"/>
      <c r="C88" t="s">
        <v>283</v>
      </c>
    </row>
    <row r="89" spans="1:3" ht="15" thickBot="1" x14ac:dyDescent="0.4">
      <c r="A89" s="58" t="s">
        <v>125</v>
      </c>
      <c r="B89" s="59">
        <v>1509.67</v>
      </c>
      <c r="C89" t="s">
        <v>283</v>
      </c>
    </row>
    <row r="90" spans="1:3" ht="15" thickBot="1" x14ac:dyDescent="0.4">
      <c r="A90" s="58" t="s">
        <v>126</v>
      </c>
      <c r="B90" s="59"/>
    </row>
    <row r="91" spans="1:3" x14ac:dyDescent="0.35">
      <c r="B91" s="57">
        <v>1586.93</v>
      </c>
    </row>
    <row r="92" spans="1:3" x14ac:dyDescent="0.35">
      <c r="B92">
        <v>1354.4944929394223</v>
      </c>
    </row>
    <row r="93" spans="1:3" x14ac:dyDescent="0.35">
      <c r="B93" s="57">
        <v>4295.918985878845</v>
      </c>
    </row>
    <row r="94" spans="1:3" x14ac:dyDescent="0.35">
      <c r="B94" s="57"/>
    </row>
  </sheetData>
  <conditionalFormatting sqref="B1:B90">
    <cfRule type="colorScale" priority="3">
      <colorScale>
        <cfvo type="min"/>
        <cfvo type="max"/>
        <color rgb="FFFCFCFF"/>
        <color rgb="FFF8696B"/>
      </colorScale>
    </cfRule>
  </conditionalFormatting>
  <conditionalFormatting sqref="F2:F29">
    <cfRule type="colorScale" priority="4">
      <colorScale>
        <cfvo type="min"/>
        <cfvo type="max"/>
        <color rgb="FFFCFCFF"/>
        <color rgb="FFF8696B"/>
      </colorScale>
    </cfRule>
  </conditionalFormatting>
  <conditionalFormatting sqref="O2:O30">
    <cfRule type="colorScale" priority="5">
      <colorScale>
        <cfvo type="min"/>
        <cfvo type="max"/>
        <color rgb="FFFCFCFF"/>
        <color rgb="FFF8696B"/>
      </colorScale>
    </cfRule>
  </conditionalFormatting>
  <conditionalFormatting sqref="S2:S7">
    <cfRule type="colorScale" priority="2">
      <colorScale>
        <cfvo type="min"/>
        <cfvo type="max"/>
        <color rgb="FFFCFCFF"/>
        <color rgb="FFF8696B"/>
      </colorScale>
    </cfRule>
  </conditionalFormatting>
  <conditionalFormatting sqref="V2:V64">
    <cfRule type="colorScale" priority="1">
      <colorScale>
        <cfvo type="min"/>
        <cfvo type="max"/>
        <color rgb="FFFCFCFF"/>
        <color rgb="FFF8696B"/>
      </colorScale>
    </cfRule>
  </conditionalFormatting>
  <conditionalFormatting sqref="V73:V65536 V1">
    <cfRule type="colorScale" priority="6">
      <colorScale>
        <cfvo type="min"/>
        <cfvo type="max"/>
        <color rgb="FFFCFCFF"/>
        <color rgb="FFF8696B"/>
      </colorScale>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A1D5069B2902A4A8E558D778F4C7E8F" ma:contentTypeVersion="18" ma:contentTypeDescription="Create a new document." ma:contentTypeScope="" ma:versionID="a047f3c97bc909de3d0ebd1edb617b14">
  <xsd:schema xmlns:xsd="http://www.w3.org/2001/XMLSchema" xmlns:xs="http://www.w3.org/2001/XMLSchema" xmlns:p="http://schemas.microsoft.com/office/2006/metadata/properties" xmlns:ns2="b9df0beb-3ccc-4b74-8e31-a4676304cde2" xmlns:ns3="1b880db7-fa86-4154-89ca-d53950b4b751" targetNamespace="http://schemas.microsoft.com/office/2006/metadata/properties" ma:root="true" ma:fieldsID="e5df2297232d77f018ef7ad358212695" ns2:_="" ns3:_="">
    <xsd:import namespace="b9df0beb-3ccc-4b74-8e31-a4676304cde2"/>
    <xsd:import namespace="1b880db7-fa86-4154-89ca-d53950b4b751"/>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URL" minOccurs="0"/>
                <xsd:element ref="ns2:MediaLengthInSecond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df0beb-3ccc-4b74-8e31-a4676304cd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URL" ma:index="20" nillable="true" ma:displayName="URL" ma:format="Hyperlink" ma:internalName="URL">
      <xsd:complexType>
        <xsd:complexContent>
          <xsd:extension base="dms:URL">
            <xsd:sequence>
              <xsd:element name="Url" type="dms:ValidUrl" minOccurs="0" nillable="true"/>
              <xsd:element name="Description" type="xsd:string" nillable="true"/>
            </xsd:sequence>
          </xsd:extension>
        </xsd:complexContent>
      </xsd:complex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9f8bbce1-5828-468c-9ed8-f0208764b76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b880db7-fa86-4154-89ca-d53950b4b75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0f8d605b-5331-4b7f-9d7b-9b668734fe2a}" ma:internalName="TaxCatchAll" ma:showField="CatchAllData" ma:web="1b880db7-fa86-4154-89ca-d53950b4b75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Description"/>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1b880db7-fa86-4154-89ca-d53950b4b751" xsi:nil="true"/>
    <URL xmlns="b9df0beb-3ccc-4b74-8e31-a4676304cde2">
      <Url xsi:nil="true"/>
      <Description xsi:nil="true"/>
    </URL>
    <lcf76f155ced4ddcb4097134ff3c332f xmlns="b9df0beb-3ccc-4b74-8e31-a4676304cde2">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82B0234-89C9-4CFA-8A77-55E04DDFB50E}">
  <ds:schemaRefs>
    <ds:schemaRef ds:uri="http://schemas.microsoft.com/sharepoint/v3/contenttype/forms"/>
  </ds:schemaRefs>
</ds:datastoreItem>
</file>

<file path=customXml/itemProps2.xml><?xml version="1.0" encoding="utf-8"?>
<ds:datastoreItem xmlns:ds="http://schemas.openxmlformats.org/officeDocument/2006/customXml" ds:itemID="{B60F368B-6A7D-4261-845B-8B8398C95A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df0beb-3ccc-4b74-8e31-a4676304cde2"/>
    <ds:schemaRef ds:uri="1b880db7-fa86-4154-89ca-d53950b4b7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946722A-0E44-49F0-93C4-2B614CA7931D}">
  <ds:schemaRefs>
    <ds:schemaRef ds:uri="http://purl.org/dc/terms/"/>
    <ds:schemaRef ds:uri="http://schemas.microsoft.com/office/infopath/2007/PartnerControls"/>
    <ds:schemaRef ds:uri="http://schemas.openxmlformats.org/package/2006/metadata/core-properties"/>
    <ds:schemaRef ds:uri="http://schemas.microsoft.com/office/2006/metadata/properties"/>
    <ds:schemaRef ds:uri="http://purl.org/dc/dcmitype/"/>
    <ds:schemaRef ds:uri="http://purl.org/dc/elements/1.1/"/>
    <ds:schemaRef ds:uri="http://schemas.microsoft.com/office/2006/documentManagement/types"/>
    <ds:schemaRef ds:uri="1b880db7-fa86-4154-89ca-d53950b4b751"/>
    <ds:schemaRef ds:uri="b9df0beb-3ccc-4b74-8e31-a4676304cde2"/>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Analyst Use Only</vt:lpstr>
      <vt:lpstr>Tutorial Detail</vt:lpstr>
      <vt:lpstr>Plan Comparison</vt:lpstr>
      <vt:lpstr>Plan Benefits</vt:lpstr>
      <vt:lpstr>Sheet1</vt:lpstr>
      <vt:lpstr>HDHP_Coinsurance</vt:lpstr>
      <vt:lpstr>'Plan Comparison'!Print_Area</vt:lpstr>
      <vt:lpstr>Trad_Coinsurance</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Kevin Reilly</dc:creator>
  <cp:lastModifiedBy>Dunnahoo, Kerry</cp:lastModifiedBy>
  <cp:lastPrinted>2014-09-25T17:08:46Z</cp:lastPrinted>
  <dcterms:created xsi:type="dcterms:W3CDTF">2013-10-15T12:34:27Z</dcterms:created>
  <dcterms:modified xsi:type="dcterms:W3CDTF">2024-10-18T21:07:50Z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0x0101004A1D5069B2902A4A8E558D778F4C7E8F</vt:lpwstr>
  </property>
  <property fmtid="{D5CDD505-2E9C-101B-9397-08002B2CF9AE}" pid="3" name="MediaServiceImageTags">
    <vt:lpwstr/>
  </property>
</Properties>
</file>