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004kab\Documents\My Webs\IR Live\research\surveys\survey_data\"/>
    </mc:Choice>
  </mc:AlternateContent>
  <bookViews>
    <workbookView xWindow="240" yWindow="330" windowWidth="18195" windowHeight="7440"/>
  </bookViews>
  <sheets>
    <sheet name="All" sheetId="16" r:id="rId1"/>
    <sheet name="Academic Advising" sheetId="8" r:id="rId2"/>
    <sheet name="Campus Climate" sheetId="3" r:id="rId3"/>
    <sheet name="Campus Life" sheetId="12" r:id="rId4"/>
    <sheet name="Campus Support Services" sheetId="9" r:id="rId5"/>
    <sheet name="Concern for the Individual" sheetId="5" r:id="rId6"/>
    <sheet name="Instructional Effectiveness" sheetId="11" r:id="rId7"/>
    <sheet name="Recruitment and Financial Aid" sheetId="10" r:id="rId8"/>
    <sheet name="Registration Effectiveness" sheetId="7" r:id="rId9"/>
    <sheet name="Safety and Security" sheetId="6" r:id="rId10"/>
    <sheet name="Student Centeredness" sheetId="13" r:id="rId11"/>
    <sheet name="Service Excellence" sheetId="4" r:id="rId12"/>
    <sheet name="Sheet1" sheetId="22" r:id="rId13"/>
  </sheets>
  <calcPr calcId="152511"/>
</workbook>
</file>

<file path=xl/calcChain.xml><?xml version="1.0" encoding="utf-8"?>
<calcChain xmlns="http://schemas.openxmlformats.org/spreadsheetml/2006/main">
  <c r="N7" i="16" l="1"/>
  <c r="N4" i="4"/>
  <c r="P4" i="4"/>
  <c r="R4" i="4"/>
  <c r="N5" i="4"/>
  <c r="P5" i="4"/>
  <c r="R5" i="4"/>
  <c r="N6" i="4"/>
  <c r="P6" i="4"/>
  <c r="R6" i="4"/>
  <c r="N7" i="4"/>
  <c r="P7" i="4"/>
  <c r="R7" i="4"/>
  <c r="N8" i="4"/>
  <c r="P8" i="4"/>
  <c r="R8" i="4"/>
  <c r="N9" i="4"/>
  <c r="P9" i="4"/>
  <c r="R9" i="4"/>
  <c r="N10" i="4"/>
  <c r="P10" i="4"/>
  <c r="R10" i="4"/>
  <c r="N11" i="4"/>
  <c r="P11" i="4"/>
  <c r="R11" i="4"/>
  <c r="N4" i="5"/>
  <c r="P4" i="5"/>
  <c r="R4" i="5"/>
  <c r="N5" i="5"/>
  <c r="P5" i="5"/>
  <c r="R5" i="5"/>
  <c r="N6" i="5"/>
  <c r="P6" i="5"/>
  <c r="R6" i="5"/>
  <c r="N7" i="5"/>
  <c r="P7" i="5"/>
  <c r="R7" i="5"/>
  <c r="P8" i="5"/>
  <c r="R8" i="5"/>
  <c r="N9" i="5"/>
  <c r="P9" i="5"/>
  <c r="R9" i="5"/>
  <c r="R4" i="6"/>
  <c r="P5" i="6"/>
  <c r="N4" i="7"/>
  <c r="P4" i="7"/>
  <c r="R4" i="7"/>
  <c r="N5" i="7"/>
  <c r="P5" i="7"/>
  <c r="R5" i="7"/>
  <c r="N6" i="7"/>
  <c r="P6" i="7"/>
  <c r="R6" i="7"/>
  <c r="N7" i="7"/>
  <c r="P7" i="7"/>
  <c r="R7" i="7"/>
  <c r="N8" i="7"/>
  <c r="P8" i="7"/>
  <c r="R8" i="7"/>
  <c r="N4" i="8"/>
  <c r="P4" i="8"/>
  <c r="R4" i="8"/>
  <c r="N5" i="8"/>
  <c r="P5" i="8"/>
  <c r="R5" i="8"/>
  <c r="N6" i="8"/>
  <c r="P6" i="8"/>
  <c r="R6" i="8"/>
  <c r="N7" i="8"/>
  <c r="P7" i="8"/>
  <c r="R7" i="8"/>
  <c r="N8" i="8"/>
  <c r="P8" i="8"/>
  <c r="R8" i="8"/>
  <c r="F3" i="9"/>
  <c r="P3" i="9"/>
  <c r="N4" i="9"/>
  <c r="P4" i="9"/>
  <c r="R4" i="9"/>
  <c r="N5" i="9"/>
  <c r="P5" i="9"/>
  <c r="N6" i="9"/>
  <c r="P6" i="9"/>
  <c r="N7" i="9"/>
  <c r="P7" i="9"/>
  <c r="R7" i="9"/>
  <c r="N8" i="9"/>
  <c r="R8" i="9"/>
  <c r="N9" i="9"/>
  <c r="P9" i="9"/>
  <c r="R9" i="9"/>
  <c r="N10" i="9"/>
  <c r="P10" i="9"/>
  <c r="R10" i="9"/>
  <c r="N4" i="10"/>
  <c r="P4" i="10"/>
  <c r="R4" i="10"/>
  <c r="N5" i="10"/>
  <c r="P5" i="10"/>
  <c r="R5" i="10"/>
  <c r="N6" i="10"/>
  <c r="P6" i="10"/>
  <c r="R6" i="10"/>
  <c r="N7" i="10"/>
  <c r="P7" i="10"/>
  <c r="R7" i="10"/>
  <c r="N8" i="10"/>
  <c r="P8" i="10"/>
  <c r="R8" i="10"/>
  <c r="N9" i="10"/>
  <c r="P9" i="10"/>
  <c r="R9" i="10"/>
  <c r="N4" i="11"/>
  <c r="P4" i="11"/>
  <c r="R4" i="11"/>
  <c r="N5" i="11"/>
  <c r="P5" i="11"/>
  <c r="R5" i="11"/>
  <c r="N6" i="11"/>
  <c r="P6" i="11"/>
  <c r="R6" i="11"/>
  <c r="N7" i="11"/>
  <c r="P7" i="11"/>
  <c r="R7" i="11"/>
  <c r="N8" i="11"/>
  <c r="P8" i="11"/>
  <c r="R8" i="11"/>
  <c r="N9" i="11"/>
  <c r="P9" i="11"/>
  <c r="R9" i="11"/>
  <c r="N10" i="11"/>
  <c r="P10" i="11"/>
  <c r="R10" i="11"/>
  <c r="N11" i="11"/>
  <c r="P11" i="11"/>
  <c r="R11" i="11"/>
  <c r="N12" i="11"/>
  <c r="P12" i="11"/>
  <c r="R12" i="11"/>
  <c r="N13" i="11"/>
  <c r="P13" i="11"/>
  <c r="R13" i="11"/>
  <c r="N14" i="11"/>
  <c r="P14" i="11"/>
  <c r="R14" i="11"/>
  <c r="N15" i="11"/>
  <c r="P15" i="11"/>
  <c r="R15" i="11"/>
  <c r="N16" i="11"/>
  <c r="P16" i="11"/>
  <c r="R16" i="11"/>
  <c r="N17" i="11"/>
  <c r="P17" i="11"/>
  <c r="R17" i="11"/>
  <c r="R3" i="12"/>
  <c r="N4" i="12"/>
  <c r="P4" i="12"/>
  <c r="N5" i="12"/>
  <c r="P5" i="12"/>
  <c r="R5" i="12"/>
  <c r="N6" i="12"/>
  <c r="P6" i="12"/>
  <c r="R6" i="12"/>
  <c r="N7" i="12"/>
  <c r="P7" i="12"/>
  <c r="R7" i="12"/>
  <c r="N8" i="12"/>
  <c r="P8" i="12"/>
  <c r="R8" i="12"/>
  <c r="N9" i="12"/>
  <c r="P9" i="12"/>
  <c r="R9" i="12"/>
  <c r="N10" i="12"/>
  <c r="P10" i="12"/>
  <c r="R10" i="12"/>
  <c r="N11" i="12"/>
  <c r="P11" i="12"/>
  <c r="R11" i="12"/>
  <c r="N12" i="12"/>
  <c r="P12" i="12"/>
  <c r="R12" i="12"/>
  <c r="N13" i="12"/>
  <c r="P13" i="12"/>
  <c r="R13" i="12"/>
  <c r="N14" i="12"/>
  <c r="P14" i="12"/>
  <c r="R14" i="12"/>
  <c r="N15" i="12"/>
  <c r="P15" i="12"/>
  <c r="R15" i="12"/>
  <c r="N16" i="12"/>
  <c r="P16" i="12"/>
  <c r="R16" i="12"/>
  <c r="N17" i="12"/>
  <c r="P17" i="12"/>
  <c r="R17" i="12"/>
  <c r="N18" i="12"/>
  <c r="P18" i="12"/>
  <c r="R18" i="12"/>
  <c r="F3" i="13"/>
  <c r="N3" i="13"/>
  <c r="P3" i="13"/>
  <c r="R3" i="13"/>
  <c r="N4" i="13"/>
  <c r="P4" i="13"/>
  <c r="R4" i="13"/>
  <c r="N5" i="13"/>
  <c r="P5" i="13"/>
  <c r="R5" i="13"/>
  <c r="N6" i="13"/>
  <c r="P6" i="13"/>
  <c r="R6" i="13"/>
  <c r="N7" i="13"/>
  <c r="P7" i="13"/>
  <c r="R7" i="13"/>
  <c r="N8" i="13"/>
  <c r="P8" i="13"/>
  <c r="R8" i="13"/>
  <c r="N9" i="13"/>
  <c r="P9" i="13"/>
  <c r="R9" i="13"/>
  <c r="R18" i="3"/>
  <c r="R16" i="3"/>
  <c r="R9" i="3"/>
  <c r="R6" i="3"/>
  <c r="R13" i="3"/>
  <c r="R11" i="3"/>
  <c r="R12" i="3"/>
  <c r="R10" i="3"/>
  <c r="R17" i="3"/>
  <c r="R7" i="3"/>
  <c r="R19" i="3"/>
  <c r="R15" i="3"/>
  <c r="R4" i="3"/>
  <c r="R8" i="3"/>
  <c r="R14" i="3"/>
</calcChain>
</file>

<file path=xl/sharedStrings.xml><?xml version="1.0" encoding="utf-8"?>
<sst xmlns="http://schemas.openxmlformats.org/spreadsheetml/2006/main" count="592" uniqueCount="291">
  <si>
    <t>1.  Most students feel a sense of belonging here.</t>
  </si>
  <si>
    <t>2. The campus staff are caring and helpful.</t>
  </si>
  <si>
    <t>3. Faculty care about me as an individual.</t>
  </si>
  <si>
    <t>4. Admissions staff are knowledgeable.</t>
  </si>
  <si>
    <t>5. Financial aid counselors are helpful.</t>
  </si>
  <si>
    <t>6. My academic advisor is approachable.</t>
  </si>
  <si>
    <t>7. The campus is safe and secure for all students.</t>
  </si>
  <si>
    <t>8. The content of the courses within my major is valuable.</t>
  </si>
  <si>
    <t>9. A variety of intramural activities are offered.</t>
  </si>
  <si>
    <t>10. Administrators are approachable to students.</t>
  </si>
  <si>
    <t>11. Billing policies are reasonable.</t>
  </si>
  <si>
    <t>13. Library staff are helpful and approachable.</t>
  </si>
  <si>
    <t>14. My academic advisor is concerned about my success as an individual.</t>
  </si>
  <si>
    <t>15. The staff in the health services area are competent.</t>
  </si>
  <si>
    <t>16. The instruction in my major field is excellent.</t>
  </si>
  <si>
    <t>17. Adequate financial aid is available for most students.</t>
  </si>
  <si>
    <t>18. Library resources and services are adequate.</t>
  </si>
  <si>
    <t>19. My academic advisor helps me set goals to work toward.</t>
  </si>
  <si>
    <t>21. The amount of student parking space on campus is adequate.</t>
  </si>
  <si>
    <t>22. Counseling staff care about students as individuals.</t>
  </si>
  <si>
    <t>25. Faculty are fair and unbiased in their treatment of individual students.</t>
  </si>
  <si>
    <t>26. Computer labs are adequate and accessible.</t>
  </si>
  <si>
    <t>27. The personnel involved in registration are helpful.</t>
  </si>
  <si>
    <t>28. Parking lots are well-lighted and secure.</t>
  </si>
  <si>
    <t>29. It is an enjoyable experience to be a student on this campus.</t>
  </si>
  <si>
    <t>30. Residence hall staff are concerned about me as an individual.</t>
  </si>
  <si>
    <t>32. Tutoring services are readily available.</t>
  </si>
  <si>
    <t>33. My academic advisor is knowledgeable about requirements in my major.</t>
  </si>
  <si>
    <t>34. I am able to register for classes I need with few conflicts.</t>
  </si>
  <si>
    <t>36. Security staff respond quickly in emergencies.</t>
  </si>
  <si>
    <t>37. I feel a sense of pride about my campus.</t>
  </si>
  <si>
    <t>38. There is an adequate selection of food available in the cafeteria.</t>
  </si>
  <si>
    <t>39. I am able to experience intellectual growth here.</t>
  </si>
  <si>
    <t>40. Residence hall regulations are reasonable.</t>
  </si>
  <si>
    <t>41. There is a commitment to academic excellence on this campus.</t>
  </si>
  <si>
    <t>42. There are a sufficient number of weekend activities for students.</t>
  </si>
  <si>
    <t>44. Academic support services adequately meet the needs of students.</t>
  </si>
  <si>
    <t>45. Students are made to feel welcome on this campus.</t>
  </si>
  <si>
    <t>46. I can easily get involved in campus organizations.</t>
  </si>
  <si>
    <t>47. Faculty provide timely feedback about student progress in a course.</t>
  </si>
  <si>
    <t>49. There are adequate services to help me decide upon a career.</t>
  </si>
  <si>
    <t>50. Class change (drop/add) policies are reasonable.</t>
  </si>
  <si>
    <t>51. This institution has a good reputation within the community.</t>
  </si>
  <si>
    <t>54. Bookstore staff are helpful.</t>
  </si>
  <si>
    <t>55. Major requirements are clear and reasonable.</t>
  </si>
  <si>
    <t>56. The student handbook provides helpful information about campus life.</t>
  </si>
  <si>
    <t>57. I seldom get the "run-around" when seeking information on this campus.</t>
  </si>
  <si>
    <t>58. The quality of instruction I receive in most of my classes is excellent.</t>
  </si>
  <si>
    <t>59. This institution shows concern for students as individuals.</t>
  </si>
  <si>
    <t>60. I generally know what's happening on campus.</t>
  </si>
  <si>
    <t>61. Adjunct faculty are competent as classroom instructors.</t>
  </si>
  <si>
    <t>62. There is a strong commitment to racial harmony on this campus.</t>
  </si>
  <si>
    <t>63. Student disciplinary procedures are fair.</t>
  </si>
  <si>
    <t>64. New student orientation services help students adjust to college.</t>
  </si>
  <si>
    <t>65. Faculty are usually available after class and during office hours.</t>
  </si>
  <si>
    <t>66. Tuition paid is a worthwhile investment.</t>
  </si>
  <si>
    <t>31. Males and females have equal opportunities to participate in intercollegiate athletics.</t>
  </si>
  <si>
    <t>67. Freedom of expression is protected on campus.</t>
  </si>
  <si>
    <t>68. Nearly all of the faculty are knowledgeable in their field.</t>
  </si>
  <si>
    <t>69. There is a good variety of courses provided on this campus.</t>
  </si>
  <si>
    <t>70. Graduate teaching assistants are competent as classroom instructors.</t>
  </si>
  <si>
    <t>71. Channels for expressing student complaints are readily available.</t>
  </si>
  <si>
    <t>73. Student activities fees are put to good use.</t>
  </si>
  <si>
    <t>12. Financial aid awards are announced to students in time to be helpful in college planning.</t>
  </si>
  <si>
    <t>20.  The business office is open during hours which are convenient for most students.</t>
  </si>
  <si>
    <t>23.  Living conditions in the residence halls are comfortable (adequate space, lighting, heat, air conditioning, telephones, etc.).</t>
  </si>
  <si>
    <t>24. The intercollegiate athletic programs contribute to a strong sense of school spirit.</t>
  </si>
  <si>
    <t>52. The student center is a comfortable place for students to spend their leisure time.</t>
  </si>
  <si>
    <t>53. Faculty take into consideration student differences as they teach a course.</t>
  </si>
  <si>
    <t>43. Admissions counselors respond to prospective students' unique needs and requests.</t>
  </si>
  <si>
    <t>48.  Admissions counselors accurately portray the campus in their recruiting practices.</t>
  </si>
  <si>
    <t>Importance</t>
  </si>
  <si>
    <t>Satisfaction</t>
  </si>
  <si>
    <t>Gap</t>
  </si>
  <si>
    <t>Campus Climate</t>
  </si>
  <si>
    <t>6.15  </t>
  </si>
  <si>
    <t xml:space="preserve"> 5.23 </t>
  </si>
  <si>
    <t>0.92 </t>
  </si>
  <si>
    <t>5.71  </t>
  </si>
  <si>
    <t> 4.91</t>
  </si>
  <si>
    <t>0.80 </t>
  </si>
  <si>
    <t>6.36  </t>
  </si>
  <si>
    <t xml:space="preserve"> 5.29 </t>
  </si>
  <si>
    <t>1.07 </t>
  </si>
  <si>
    <t>6.06  </t>
  </si>
  <si>
    <t xml:space="preserve"> 5.00 </t>
  </si>
  <si>
    <t>1.06 </t>
  </si>
  <si>
    <t>6.57  </t>
  </si>
  <si>
    <t xml:space="preserve"> 5.69 </t>
  </si>
  <si>
    <t>0.88 </t>
  </si>
  <si>
    <t>5.85  </t>
  </si>
  <si>
    <t xml:space="preserve"> 5.04 </t>
  </si>
  <si>
    <t>0.81 </t>
  </si>
  <si>
    <t>6.37  </t>
  </si>
  <si>
    <t> 5.34</t>
  </si>
  <si>
    <t>1.03 </t>
  </si>
  <si>
    <t>5.65  </t>
  </si>
  <si>
    <t> 4.99</t>
  </si>
  <si>
    <t>0.66 </t>
  </si>
  <si>
    <t>6.44  </t>
  </si>
  <si>
    <t xml:space="preserve"> 5.47 </t>
  </si>
  <si>
    <t>0.97 </t>
  </si>
  <si>
    <t>6.20  </t>
  </si>
  <si>
    <t> 5.40</t>
  </si>
  <si>
    <t>6.19  </t>
  </si>
  <si>
    <t> 5.76</t>
  </si>
  <si>
    <t>0.43 </t>
  </si>
  <si>
    <t>6.28  </t>
  </si>
  <si>
    <t xml:space="preserve"> 4.73 </t>
  </si>
  <si>
    <t>1.55 </t>
  </si>
  <si>
    <t>6.33  </t>
  </si>
  <si>
    <t xml:space="preserve"> 5.15 </t>
  </si>
  <si>
    <t>1.18 </t>
  </si>
  <si>
    <t> 5.03</t>
  </si>
  <si>
    <t>0.62 </t>
  </si>
  <si>
    <t>5.94  </t>
  </si>
  <si>
    <t xml:space="preserve"> 5.40 </t>
  </si>
  <si>
    <t>0.54 </t>
  </si>
  <si>
    <t>6.61  </t>
  </si>
  <si>
    <t xml:space="preserve"> 5.28 </t>
  </si>
  <si>
    <t>1.33 </t>
  </si>
  <si>
    <t>6.14  </t>
  </si>
  <si>
    <t xml:space="preserve"> 5.66 </t>
  </si>
  <si>
    <t>0.48 </t>
  </si>
  <si>
    <t>6.10  </t>
  </si>
  <si>
    <t xml:space="preserve"> 4.68 </t>
  </si>
  <si>
    <t>1.42 </t>
  </si>
  <si>
    <t>Student Centeredness</t>
  </si>
  <si>
    <t> 5.19 </t>
  </si>
  <si>
    <t>0.95 </t>
  </si>
  <si>
    <t xml:space="preserve"> 4.91 </t>
  </si>
  <si>
    <t> 5.29</t>
  </si>
  <si>
    <t xml:space="preserve"> 5.34 </t>
  </si>
  <si>
    <t> 5.15</t>
  </si>
  <si>
    <t>Campus Life</t>
  </si>
  <si>
    <t xml:space="preserve"> 5.10 </t>
  </si>
  <si>
    <t>0.55 </t>
  </si>
  <si>
    <t>4.67  </t>
  </si>
  <si>
    <t xml:space="preserve"> 5.16 </t>
  </si>
  <si>
    <t>-0.49 </t>
  </si>
  <si>
    <t>5.88  </t>
  </si>
  <si>
    <t> 4.86</t>
  </si>
  <si>
    <t>1.02 </t>
  </si>
  <si>
    <t>5.02  </t>
  </si>
  <si>
    <t xml:space="preserve"> 4.52 </t>
  </si>
  <si>
    <t>0.50 </t>
  </si>
  <si>
    <t>5.66  </t>
  </si>
  <si>
    <t xml:space="preserve"> 4.85 </t>
  </si>
  <si>
    <t>5.43  </t>
  </si>
  <si>
    <t xml:space="preserve"> 5.57 </t>
  </si>
  <si>
    <t>-0.14 </t>
  </si>
  <si>
    <t>5.91  </t>
  </si>
  <si>
    <t xml:space="preserve"> 4.96 </t>
  </si>
  <si>
    <t>5.78  </t>
  </si>
  <si>
    <t> 5.17</t>
  </si>
  <si>
    <t>0.61 </t>
  </si>
  <si>
    <t>5.20  </t>
  </si>
  <si>
    <t> 4.24</t>
  </si>
  <si>
    <t>0.96 </t>
  </si>
  <si>
    <t> 5.23</t>
  </si>
  <si>
    <t>0.42 </t>
  </si>
  <si>
    <t>5.80  </t>
  </si>
  <si>
    <t xml:space="preserve"> 5.56 </t>
  </si>
  <si>
    <t>0.24 </t>
  </si>
  <si>
    <t>5.52  </t>
  </si>
  <si>
    <t> 5.06</t>
  </si>
  <si>
    <t>0.46 </t>
  </si>
  <si>
    <t>6.11  </t>
  </si>
  <si>
    <t xml:space="preserve"> 5.52 </t>
  </si>
  <si>
    <t>0.59 </t>
  </si>
  <si>
    <t> 5.66</t>
  </si>
  <si>
    <t>6.07  </t>
  </si>
  <si>
    <t xml:space="preserve"> 4.78 </t>
  </si>
  <si>
    <t>1.29 </t>
  </si>
  <si>
    <t>Instructional Effectiveness</t>
  </si>
  <si>
    <t xml:space="preserve"> 5.43 </t>
  </si>
  <si>
    <t>1.01 </t>
  </si>
  <si>
    <t> 5.00</t>
  </si>
  <si>
    <t>6.65  </t>
  </si>
  <si>
    <t> 5.38  </t>
  </si>
  <si>
    <t>1.27 </t>
  </si>
  <si>
    <t>6.63  </t>
  </si>
  <si>
    <t> 5.44  </t>
  </si>
  <si>
    <t>1.19 </t>
  </si>
  <si>
    <t>6.43  </t>
  </si>
  <si>
    <t> 5.38</t>
  </si>
  <si>
    <t>1.05 </t>
  </si>
  <si>
    <t>6.48  </t>
  </si>
  <si>
    <t xml:space="preserve"> 5.74 </t>
  </si>
  <si>
    <t>0.74 </t>
  </si>
  <si>
    <t>6.41  </t>
  </si>
  <si>
    <t xml:space="preserve"> 5.09 </t>
  </si>
  <si>
    <t>1.32 </t>
  </si>
  <si>
    <t xml:space="preserve"> 5.07 </t>
  </si>
  <si>
    <t>1.08 </t>
  </si>
  <si>
    <t>6.64  </t>
  </si>
  <si>
    <t xml:space="preserve"> 5.45 </t>
  </si>
  <si>
    <t>6.35  </t>
  </si>
  <si>
    <t xml:space="preserve"> 5.49 </t>
  </si>
  <si>
    <t>0.86 </t>
  </si>
  <si>
    <t>6.40  </t>
  </si>
  <si>
    <t xml:space="preserve"> 5.80 </t>
  </si>
  <si>
    <t>0.60 </t>
  </si>
  <si>
    <t xml:space="preserve"> 5.78 </t>
  </si>
  <si>
    <t>0.85 </t>
  </si>
  <si>
    <t>6.52  </t>
  </si>
  <si>
    <t xml:space="preserve"> 5.61 </t>
  </si>
  <si>
    <t>0.91 </t>
  </si>
  <si>
    <t>6.30  </t>
  </si>
  <si>
    <t> 5.28</t>
  </si>
  <si>
    <t>Recruitment and Financial Aid</t>
  </si>
  <si>
    <t>6.27  </t>
  </si>
  <si>
    <t xml:space="preserve"> 5.11 </t>
  </si>
  <si>
    <t>1.16 </t>
  </si>
  <si>
    <t> 5.13</t>
  </si>
  <si>
    <t>6.32  </t>
  </si>
  <si>
    <t> 5.19</t>
  </si>
  <si>
    <t>1.13 </t>
  </si>
  <si>
    <t>1.34 </t>
  </si>
  <si>
    <t>6.46  </t>
  </si>
  <si>
    <t>1.43 </t>
  </si>
  <si>
    <t>6.12  </t>
  </si>
  <si>
    <t>6.05  </t>
  </si>
  <si>
    <t xml:space="preserve"> 5.12 </t>
  </si>
  <si>
    <t>0.93 </t>
  </si>
  <si>
    <t>Campus Support Services</t>
  </si>
  <si>
    <t> 5.65</t>
  </si>
  <si>
    <t>0.45 </t>
  </si>
  <si>
    <t>5.76  </t>
  </si>
  <si>
    <t xml:space="preserve"> 5.86 </t>
  </si>
  <si>
    <t>-0.10 </t>
  </si>
  <si>
    <t>6.23  </t>
  </si>
  <si>
    <t xml:space="preserve"> 5.88 </t>
  </si>
  <si>
    <t>0.35 </t>
  </si>
  <si>
    <t>6.38  </t>
  </si>
  <si>
    <t>5.95  </t>
  </si>
  <si>
    <t> 5.71 </t>
  </si>
  <si>
    <t>6.22  </t>
  </si>
  <si>
    <t xml:space="preserve"> 5.32 </t>
  </si>
  <si>
    <t>0.90 </t>
  </si>
  <si>
    <t>6.24  </t>
  </si>
  <si>
    <t> 4.98</t>
  </si>
  <si>
    <t>1.26 </t>
  </si>
  <si>
    <t>5.93  </t>
  </si>
  <si>
    <t xml:space="preserve"> 5.81 </t>
  </si>
  <si>
    <t>0.12 </t>
  </si>
  <si>
    <t>Academic Advising</t>
  </si>
  <si>
    <t>6.42  </t>
  </si>
  <si>
    <t xml:space="preserve"> 5.21 </t>
  </si>
  <si>
    <t>1.21 </t>
  </si>
  <si>
    <t>6.51  </t>
  </si>
  <si>
    <t>1.17 </t>
  </si>
  <si>
    <t xml:space="preserve"> 5.06 </t>
  </si>
  <si>
    <t>6.01  </t>
  </si>
  <si>
    <t> 4.65</t>
  </si>
  <si>
    <t>1.36 </t>
  </si>
  <si>
    <t> 5.45</t>
  </si>
  <si>
    <t>1.20 </t>
  </si>
  <si>
    <t>6.59  </t>
  </si>
  <si>
    <t xml:space="preserve"> 5.53 </t>
  </si>
  <si>
    <t>Registration Effectiveness</t>
  </si>
  <si>
    <t xml:space="preserve"> 5.25 </t>
  </si>
  <si>
    <t xml:space="preserve"> 5.08 </t>
  </si>
  <si>
    <t>0.87 </t>
  </si>
  <si>
    <t> 5.31  </t>
  </si>
  <si>
    <t xml:space="preserve"> 4.87 </t>
  </si>
  <si>
    <t>1.78 </t>
  </si>
  <si>
    <t xml:space="preserve"> 5.75 </t>
  </si>
  <si>
    <t>0.44 </t>
  </si>
  <si>
    <t>Safety and Security</t>
  </si>
  <si>
    <t> 4.79</t>
  </si>
  <si>
    <t>1.63 </t>
  </si>
  <si>
    <t> 5.69</t>
  </si>
  <si>
    <t>6.29  </t>
  </si>
  <si>
    <t xml:space="preserve"> 2.95 </t>
  </si>
  <si>
    <t>3.34 </t>
  </si>
  <si>
    <t>6.49  </t>
  </si>
  <si>
    <t xml:space="preserve"> 5.48 </t>
  </si>
  <si>
    <t>Concern for the Individual</t>
  </si>
  <si>
    <t>1.10 </t>
  </si>
  <si>
    <t> 4.85  </t>
  </si>
  <si>
    <t>Service Excellence</t>
  </si>
  <si>
    <t> 5.86</t>
  </si>
  <si>
    <t xml:space="preserve"> 5.26 </t>
  </si>
  <si>
    <t>0.67 </t>
  </si>
  <si>
    <t xml:space="preserve"> 5.31 </t>
  </si>
  <si>
    <t xml:space="preserve"> 5.03 </t>
  </si>
  <si>
    <t>Campus Climate Scale</t>
  </si>
  <si>
    <t>Difference, 2012-2010</t>
  </si>
  <si>
    <t>Scale</t>
  </si>
  <si>
    <t>Change, 2010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</si>
</sst>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28"/>
      <color rgb="FF0033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wrapText="1"/>
    </xf>
    <xf numFmtId="0" fontId="0" fillId="34" borderId="0" xfId="0" applyFill="1" applyAlignment="1">
      <alignment horizontal="center"/>
    </xf>
    <xf numFmtId="0" fontId="18" fillId="33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4" borderId="2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Border="1"/>
    <xf numFmtId="0" fontId="0" fillId="33" borderId="0" xfId="0" applyFill="1" applyAlignment="1">
      <alignment wrapText="1"/>
    </xf>
    <xf numFmtId="0" fontId="18" fillId="3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8" fillId="33" borderId="2" xfId="0" applyFont="1" applyFill="1" applyBorder="1"/>
    <xf numFmtId="0" fontId="0" fillId="0" borderId="0" xfId="0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34" borderId="0" xfId="0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20" fillId="0" borderId="0" xfId="0" applyFont="1" applyAlignment="1"/>
    <xf numFmtId="0" fontId="0" fillId="0" borderId="0" xfId="0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22</xdr:row>
      <xdr:rowOff>104775</xdr:rowOff>
    </xdr:from>
    <xdr:to>
      <xdr:col>3</xdr:col>
      <xdr:colOff>485775</xdr:colOff>
      <xdr:row>28</xdr:row>
      <xdr:rowOff>47625</xdr:rowOff>
    </xdr:to>
    <xdr:sp macro="" textlink="">
      <xdr:nvSpPr>
        <xdr:cNvPr id="2" name="TextBox 1"/>
        <xdr:cNvSpPr txBox="1"/>
      </xdr:nvSpPr>
      <xdr:spPr>
        <a:xfrm>
          <a:off x="238125" y="4495800"/>
          <a:ext cx="61626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13"/>
  <sheetViews>
    <sheetView tabSelected="1" zoomScaleNormal="100" workbookViewId="0">
      <selection activeCell="A16" sqref="A16"/>
    </sheetView>
  </sheetViews>
  <sheetFormatPr defaultRowHeight="15" x14ac:dyDescent="0.25"/>
  <cols>
    <col min="1" max="1" width="24.28515625" style="25" customWidth="1"/>
    <col min="2" max="2" width="12.5703125" customWidth="1"/>
    <col min="3" max="3" width="0.28515625" customWidth="1"/>
    <col min="4" max="4" width="14" customWidth="1"/>
    <col min="5" max="5" width="0.42578125" customWidth="1"/>
    <col min="6" max="6" width="11" customWidth="1"/>
    <col min="7" max="7" width="1.5703125" customWidth="1"/>
    <col min="8" max="8" width="11.42578125" customWidth="1"/>
    <col min="9" max="9" width="0.28515625" customWidth="1"/>
    <col min="10" max="10" width="13.140625" customWidth="1"/>
    <col min="11" max="11" width="0.42578125" customWidth="1"/>
    <col min="13" max="13" width="0.5703125" customWidth="1"/>
    <col min="14" max="14" width="12.85546875" customWidth="1"/>
    <col min="15" max="15" width="0.42578125" customWidth="1"/>
    <col min="16" max="16" width="13.42578125" customWidth="1"/>
    <col min="17" max="17" width="0.42578125" customWidth="1"/>
  </cols>
  <sheetData>
    <row r="1" spans="1:18" ht="15.75" x14ac:dyDescent="0.25">
      <c r="A1" s="20"/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290</v>
      </c>
      <c r="O1" s="32"/>
      <c r="P1" s="32"/>
      <c r="Q1" s="32"/>
      <c r="R1" s="32"/>
    </row>
    <row r="2" spans="1:18" x14ac:dyDescent="0.25">
      <c r="A2" s="21" t="s">
        <v>289</v>
      </c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22" t="s">
        <v>246</v>
      </c>
      <c r="B3" s="16">
        <v>6.45</v>
      </c>
      <c r="C3" s="16"/>
      <c r="D3" s="16">
        <v>5.36</v>
      </c>
      <c r="E3" s="16"/>
      <c r="F3" s="17">
        <v>1.0900000000000001</v>
      </c>
      <c r="G3" s="19"/>
      <c r="H3" s="16" t="s">
        <v>247</v>
      </c>
      <c r="I3" s="16"/>
      <c r="J3" s="16" t="s">
        <v>248</v>
      </c>
      <c r="K3" s="16"/>
      <c r="L3" s="17" t="s">
        <v>249</v>
      </c>
      <c r="M3" s="19"/>
      <c r="N3" s="16">
        <v>0.03</v>
      </c>
      <c r="O3" s="16"/>
      <c r="P3" s="16">
        <v>0.15</v>
      </c>
      <c r="Q3" s="16"/>
      <c r="R3" s="17">
        <v>-0.12</v>
      </c>
    </row>
    <row r="4" spans="1:18" x14ac:dyDescent="0.25">
      <c r="A4" s="22" t="s">
        <v>74</v>
      </c>
      <c r="B4" s="13">
        <v>6.15</v>
      </c>
      <c r="C4" s="13"/>
      <c r="D4" s="13">
        <v>5.24</v>
      </c>
      <c r="E4" s="13"/>
      <c r="F4" s="14">
        <v>0.91</v>
      </c>
      <c r="G4" s="19"/>
      <c r="H4" s="13" t="s">
        <v>75</v>
      </c>
      <c r="I4" s="13"/>
      <c r="J4" s="13" t="s">
        <v>76</v>
      </c>
      <c r="K4" s="13"/>
      <c r="L4" s="14" t="s">
        <v>77</v>
      </c>
      <c r="M4" s="19"/>
      <c r="N4" s="13">
        <v>0</v>
      </c>
      <c r="O4" s="13"/>
      <c r="P4" s="13">
        <v>0.01</v>
      </c>
      <c r="Q4" s="13"/>
      <c r="R4" s="14">
        <v>-0.01</v>
      </c>
    </row>
    <row r="5" spans="1:18" x14ac:dyDescent="0.25">
      <c r="A5" s="23" t="s">
        <v>134</v>
      </c>
      <c r="B5" s="16">
        <v>5.66</v>
      </c>
      <c r="C5" s="16"/>
      <c r="D5" s="16">
        <v>5.17</v>
      </c>
      <c r="E5" s="16"/>
      <c r="F5" s="17">
        <v>0.49</v>
      </c>
      <c r="G5" s="19"/>
      <c r="H5" s="16" t="s">
        <v>96</v>
      </c>
      <c r="I5" s="16"/>
      <c r="J5" s="16" t="s">
        <v>135</v>
      </c>
      <c r="K5" s="16"/>
      <c r="L5" s="17" t="s">
        <v>136</v>
      </c>
      <c r="M5" s="19"/>
      <c r="N5" s="16">
        <v>0.01</v>
      </c>
      <c r="O5" s="16"/>
      <c r="P5" s="16">
        <v>7.0000000000000007E-2</v>
      </c>
      <c r="Q5" s="16"/>
      <c r="R5" s="17">
        <v>-0.06</v>
      </c>
    </row>
    <row r="6" spans="1:18" x14ac:dyDescent="0.25">
      <c r="A6" s="23" t="s">
        <v>225</v>
      </c>
      <c r="B6" s="16">
        <v>6.06</v>
      </c>
      <c r="C6" s="16"/>
      <c r="D6" s="16">
        <v>5.68</v>
      </c>
      <c r="E6" s="16"/>
      <c r="F6" s="17">
        <v>0.38</v>
      </c>
      <c r="G6" s="19"/>
      <c r="H6" s="16" t="s">
        <v>124</v>
      </c>
      <c r="I6" s="16"/>
      <c r="J6" s="16" t="s">
        <v>226</v>
      </c>
      <c r="K6" s="16"/>
      <c r="L6" s="17" t="s">
        <v>227</v>
      </c>
      <c r="M6" s="19"/>
      <c r="N6" s="16">
        <v>-0.04</v>
      </c>
      <c r="O6" s="16"/>
      <c r="P6" s="16">
        <v>0.03</v>
      </c>
      <c r="Q6" s="16"/>
      <c r="R6" s="17">
        <v>-7.0000000000000007E-2</v>
      </c>
    </row>
    <row r="7" spans="1:18" ht="30" x14ac:dyDescent="0.25">
      <c r="A7" s="23" t="s">
        <v>278</v>
      </c>
      <c r="B7" s="16">
        <v>6.21</v>
      </c>
      <c r="C7" s="16"/>
      <c r="D7" s="16">
        <v>5.19</v>
      </c>
      <c r="E7" s="16"/>
      <c r="F7" s="17">
        <v>1.02</v>
      </c>
      <c r="G7" s="19"/>
      <c r="H7" s="16" t="s">
        <v>102</v>
      </c>
      <c r="I7" s="16"/>
      <c r="J7" s="16" t="s">
        <v>135</v>
      </c>
      <c r="K7" s="16"/>
      <c r="L7" s="17" t="s">
        <v>279</v>
      </c>
      <c r="M7" s="19"/>
      <c r="N7" s="16">
        <f>0.01</f>
        <v>0.01</v>
      </c>
      <c r="O7" s="16"/>
      <c r="P7" s="16">
        <v>0.09</v>
      </c>
      <c r="Q7" s="16"/>
      <c r="R7" s="17">
        <v>-0.08</v>
      </c>
    </row>
    <row r="8" spans="1:18" ht="30" x14ac:dyDescent="0.25">
      <c r="A8" s="24" t="s">
        <v>174</v>
      </c>
      <c r="B8" s="16">
        <v>6.42</v>
      </c>
      <c r="C8" s="16"/>
      <c r="D8" s="16">
        <v>5.39</v>
      </c>
      <c r="E8" s="16"/>
      <c r="F8" s="17">
        <v>1.03</v>
      </c>
      <c r="G8" s="19"/>
      <c r="H8" s="16" t="s">
        <v>99</v>
      </c>
      <c r="I8" s="16"/>
      <c r="J8" s="16" t="s">
        <v>175</v>
      </c>
      <c r="K8" s="16"/>
      <c r="L8" s="17" t="s">
        <v>176</v>
      </c>
      <c r="M8" s="19"/>
      <c r="N8" s="16">
        <v>-0.02</v>
      </c>
      <c r="O8" s="16"/>
      <c r="P8" s="16">
        <v>-0.04</v>
      </c>
      <c r="Q8" s="16"/>
      <c r="R8" s="17">
        <v>0.02</v>
      </c>
    </row>
    <row r="9" spans="1:18" ht="30" x14ac:dyDescent="0.25">
      <c r="A9" s="23" t="s">
        <v>210</v>
      </c>
      <c r="B9" s="16">
        <v>6.27</v>
      </c>
      <c r="C9" s="16"/>
      <c r="D9" s="16">
        <v>5.2</v>
      </c>
      <c r="E9" s="16"/>
      <c r="F9" s="17">
        <v>1.07</v>
      </c>
      <c r="G9" s="19"/>
      <c r="H9" s="16" t="s">
        <v>211</v>
      </c>
      <c r="I9" s="16"/>
      <c r="J9" s="16" t="s">
        <v>212</v>
      </c>
      <c r="K9" s="16"/>
      <c r="L9" s="17" t="s">
        <v>213</v>
      </c>
      <c r="M9" s="19"/>
      <c r="N9" s="16">
        <v>0</v>
      </c>
      <c r="O9" s="16"/>
      <c r="P9" s="16">
        <v>0.09</v>
      </c>
      <c r="Q9" s="16"/>
      <c r="R9" s="17">
        <v>-0.09</v>
      </c>
    </row>
    <row r="10" spans="1:18" ht="30" x14ac:dyDescent="0.25">
      <c r="A10" s="23" t="s">
        <v>260</v>
      </c>
      <c r="B10" s="16">
        <v>6.23</v>
      </c>
      <c r="C10" s="16"/>
      <c r="D10" s="16">
        <v>5.29</v>
      </c>
      <c r="E10" s="16"/>
      <c r="F10" s="17">
        <v>0.94</v>
      </c>
      <c r="G10" s="19"/>
      <c r="H10" s="16" t="s">
        <v>211</v>
      </c>
      <c r="I10" s="16"/>
      <c r="J10" s="16" t="s">
        <v>261</v>
      </c>
      <c r="K10" s="16"/>
      <c r="L10" s="17" t="s">
        <v>142</v>
      </c>
      <c r="M10" s="19"/>
      <c r="N10" s="16">
        <v>-0.04</v>
      </c>
      <c r="O10" s="16"/>
      <c r="P10" s="16">
        <v>0.04</v>
      </c>
      <c r="Q10" s="16"/>
      <c r="R10" s="17">
        <v>-0.08</v>
      </c>
    </row>
    <row r="11" spans="1:18" x14ac:dyDescent="0.25">
      <c r="A11" s="23" t="s">
        <v>269</v>
      </c>
      <c r="B11" s="16">
        <v>6.41</v>
      </c>
      <c r="C11" s="16"/>
      <c r="D11" s="16">
        <v>4.88</v>
      </c>
      <c r="E11" s="16"/>
      <c r="F11" s="17">
        <v>1.53</v>
      </c>
      <c r="G11" s="19"/>
      <c r="H11" s="16" t="s">
        <v>247</v>
      </c>
      <c r="I11" s="16"/>
      <c r="J11" s="16" t="s">
        <v>270</v>
      </c>
      <c r="K11" s="16"/>
      <c r="L11" s="17" t="s">
        <v>271</v>
      </c>
      <c r="M11" s="19"/>
      <c r="N11" s="16">
        <v>-0.01</v>
      </c>
      <c r="O11" s="16"/>
      <c r="P11" s="16">
        <v>0.09</v>
      </c>
      <c r="Q11" s="16"/>
      <c r="R11" s="17">
        <v>-0.01</v>
      </c>
    </row>
    <row r="12" spans="1:18" x14ac:dyDescent="0.25">
      <c r="A12" s="23" t="s">
        <v>281</v>
      </c>
      <c r="B12" s="16">
        <v>6.03</v>
      </c>
      <c r="C12" s="16"/>
      <c r="D12" s="16">
        <v>5.22</v>
      </c>
      <c r="E12" s="16"/>
      <c r="F12" s="17">
        <v>0.81</v>
      </c>
      <c r="G12" s="19"/>
      <c r="H12" s="16" t="s">
        <v>84</v>
      </c>
      <c r="I12" s="16"/>
      <c r="J12" s="16" t="s">
        <v>111</v>
      </c>
      <c r="K12" s="16"/>
      <c r="L12" s="17" t="s">
        <v>207</v>
      </c>
      <c r="M12" s="19"/>
      <c r="N12" s="16">
        <v>-0.03</v>
      </c>
      <c r="O12" s="16"/>
      <c r="P12" s="16">
        <v>7.0000000000000007E-2</v>
      </c>
      <c r="Q12" s="16"/>
      <c r="R12" s="17">
        <v>-0.01</v>
      </c>
    </row>
    <row r="13" spans="1:18" x14ac:dyDescent="0.25">
      <c r="A13" s="23" t="s">
        <v>127</v>
      </c>
      <c r="B13" s="16">
        <v>6.12</v>
      </c>
      <c r="C13" s="16"/>
      <c r="D13" s="16">
        <v>5.2</v>
      </c>
      <c r="E13" s="16"/>
      <c r="F13" s="17">
        <v>0.92</v>
      </c>
      <c r="G13" s="19"/>
      <c r="H13" s="16" t="s">
        <v>121</v>
      </c>
      <c r="I13" s="16"/>
      <c r="J13" s="16" t="s">
        <v>128</v>
      </c>
      <c r="K13" s="16"/>
      <c r="L13" s="17" t="s">
        <v>129</v>
      </c>
      <c r="M13" s="19"/>
      <c r="N13" s="16">
        <v>-0.02</v>
      </c>
      <c r="O13" s="16"/>
      <c r="P13" s="16">
        <v>0.01</v>
      </c>
      <c r="Q13" s="16"/>
      <c r="R13" s="17">
        <v>-0.03</v>
      </c>
    </row>
  </sheetData>
  <mergeCells count="3">
    <mergeCell ref="B1:F1"/>
    <mergeCell ref="H1:L1"/>
    <mergeCell ref="N1:R1"/>
  </mergeCells>
  <conditionalFormatting sqref="R4:R7">
    <cfRule type="iconSet" priority="16">
      <iconSet iconSet="3Arrows" reverse="1">
        <cfvo type="percent" val="0"/>
        <cfvo type="num" val="0"/>
        <cfvo type="num" val="0"/>
      </iconSet>
    </cfRule>
  </conditionalFormatting>
  <conditionalFormatting sqref="N4:N7">
    <cfRule type="iconSet" priority="14">
      <iconSet iconSet="3Arrows">
        <cfvo type="percent" val="0"/>
        <cfvo type="num" val="0"/>
        <cfvo type="num" val="9.9999999999999995E-8"/>
      </iconSet>
    </cfRule>
  </conditionalFormatting>
  <conditionalFormatting sqref="P4:P7">
    <cfRule type="iconSet" priority="13">
      <iconSet iconSet="3Arrows">
        <cfvo type="percent" val="0"/>
        <cfvo type="num" val="0"/>
        <cfvo type="num" val="9.9999999999999995E-8"/>
      </iconSet>
    </cfRule>
  </conditionalFormatting>
  <conditionalFormatting sqref="R8:R9">
    <cfRule type="iconSet" priority="12">
      <iconSet iconSet="3Arrows" reverse="1">
        <cfvo type="percent" val="0"/>
        <cfvo type="num" val="0"/>
        <cfvo type="num" val="0"/>
      </iconSet>
    </cfRule>
  </conditionalFormatting>
  <conditionalFormatting sqref="N8:N9">
    <cfRule type="iconSet" priority="11">
      <iconSet iconSet="3Arrows">
        <cfvo type="percent" val="0"/>
        <cfvo type="num" val="0"/>
        <cfvo type="num" val="9.9999999999999995E-8"/>
      </iconSet>
    </cfRule>
  </conditionalFormatting>
  <conditionalFormatting sqref="P8:P9">
    <cfRule type="iconSet" priority="10">
      <iconSet iconSet="3Arrows">
        <cfvo type="percent" val="0"/>
        <cfvo type="num" val="0"/>
        <cfvo type="num" val="9.9999999999999995E-8"/>
      </iconSet>
    </cfRule>
  </conditionalFormatting>
  <conditionalFormatting sqref="R10:R11">
    <cfRule type="iconSet" priority="9">
      <iconSet iconSet="3Arrows" reverse="1">
        <cfvo type="percent" val="0"/>
        <cfvo type="num" val="0"/>
        <cfvo type="num" val="0"/>
      </iconSet>
    </cfRule>
  </conditionalFormatting>
  <conditionalFormatting sqref="N10:N11">
    <cfRule type="iconSet" priority="8">
      <iconSet iconSet="3Arrows">
        <cfvo type="percent" val="0"/>
        <cfvo type="num" val="0"/>
        <cfvo type="num" val="9.9999999999999995E-8"/>
      </iconSet>
    </cfRule>
  </conditionalFormatting>
  <conditionalFormatting sqref="P10:P11">
    <cfRule type="iconSet" priority="7">
      <iconSet iconSet="3Arrows">
        <cfvo type="percent" val="0"/>
        <cfvo type="num" val="0"/>
        <cfvo type="num" val="9.9999999999999995E-8"/>
      </iconSet>
    </cfRule>
  </conditionalFormatting>
  <conditionalFormatting sqref="R12:R13">
    <cfRule type="iconSet" priority="6">
      <iconSet iconSet="3Arrows" reverse="1">
        <cfvo type="percent" val="0"/>
        <cfvo type="num" val="0"/>
        <cfvo type="num" val="0"/>
      </iconSet>
    </cfRule>
  </conditionalFormatting>
  <conditionalFormatting sqref="N12:N13">
    <cfRule type="iconSet" priority="5">
      <iconSet iconSet="3Arrows">
        <cfvo type="percent" val="0"/>
        <cfvo type="num" val="0"/>
        <cfvo type="num" val="9.9999999999999995E-8"/>
      </iconSet>
    </cfRule>
  </conditionalFormatting>
  <conditionalFormatting sqref="P12:P13">
    <cfRule type="iconSet" priority="4">
      <iconSet iconSet="3Arrows">
        <cfvo type="percent" val="0"/>
        <cfvo type="num" val="0"/>
        <cfvo type="num" val="9.9999999999999995E-8"/>
      </iconSet>
    </cfRule>
  </conditionalFormatting>
  <conditionalFormatting sqref="R3">
    <cfRule type="iconSet" priority="3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7"/>
  <sheetViews>
    <sheetView workbookViewId="0">
      <selection activeCell="F34" sqref="F34"/>
    </sheetView>
  </sheetViews>
  <sheetFormatPr defaultRowHeight="15" x14ac:dyDescent="0.25"/>
  <cols>
    <col min="1" max="1" width="82.28515625" customWidth="1"/>
    <col min="2" max="2" width="17" style="8" customWidth="1"/>
    <col min="3" max="3" width="0.85546875" style="8" customWidth="1"/>
    <col min="4" max="4" width="17.7109375" style="8" customWidth="1"/>
    <col min="5" max="5" width="0.7109375" style="8" customWidth="1"/>
    <col min="6" max="6" width="9.5703125" style="8" customWidth="1"/>
    <col min="7" max="7" width="1.140625" style="8" customWidth="1"/>
    <col min="8" max="8" width="16.5703125" style="8" customWidth="1"/>
    <col min="9" max="9" width="0.7109375" style="8" customWidth="1"/>
    <col min="10" max="10" width="15.28515625" style="8" customWidth="1"/>
    <col min="11" max="11" width="0.5703125" style="8" customWidth="1"/>
    <col min="12" max="12" width="9.140625" style="8"/>
    <col min="13" max="13" width="1" customWidth="1"/>
    <col min="14" max="14" width="15.85546875" customWidth="1"/>
    <col min="15" max="15" width="0.7109375" customWidth="1"/>
    <col min="16" max="16" width="17.140625" customWidth="1"/>
    <col min="17" max="17" width="0.5703125" customWidth="1"/>
  </cols>
  <sheetData>
    <row r="1" spans="1:18" ht="15.75" x14ac:dyDescent="0.25">
      <c r="A1" s="33" t="s">
        <v>269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17.25" customHeight="1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269</v>
      </c>
      <c r="B3" s="18">
        <v>6.41</v>
      </c>
      <c r="C3" s="18"/>
      <c r="D3" s="18">
        <v>4.88</v>
      </c>
      <c r="E3" s="2"/>
      <c r="F3" s="10">
        <v>1.53</v>
      </c>
      <c r="G3" s="19"/>
      <c r="H3" s="18" t="s">
        <v>247</v>
      </c>
      <c r="I3" s="18"/>
      <c r="J3" s="18" t="s">
        <v>270</v>
      </c>
      <c r="L3" s="10" t="s">
        <v>271</v>
      </c>
      <c r="M3" s="19"/>
      <c r="N3" s="18">
        <v>-0.01</v>
      </c>
      <c r="O3" s="18"/>
      <c r="P3" s="18">
        <v>0.09</v>
      </c>
      <c r="Q3" s="8"/>
      <c r="R3" s="10">
        <v>-0.1</v>
      </c>
    </row>
    <row r="4" spans="1:18" x14ac:dyDescent="0.25">
      <c r="A4" s="12" t="s">
        <v>6</v>
      </c>
      <c r="B4" s="13">
        <v>6.57</v>
      </c>
      <c r="C4" s="13"/>
      <c r="D4" s="13">
        <v>5.58</v>
      </c>
      <c r="E4" s="13"/>
      <c r="F4" s="14">
        <v>0.99</v>
      </c>
      <c r="G4" s="19"/>
      <c r="H4" s="13" t="s">
        <v>87</v>
      </c>
      <c r="I4" s="13"/>
      <c r="J4" s="13" t="s">
        <v>272</v>
      </c>
      <c r="K4" s="13"/>
      <c r="L4" s="14" t="s">
        <v>89</v>
      </c>
      <c r="M4" s="19"/>
      <c r="N4" s="13">
        <v>0</v>
      </c>
      <c r="O4" s="13"/>
      <c r="P4" s="13">
        <v>-0.11</v>
      </c>
      <c r="Q4" s="13"/>
      <c r="R4" s="14">
        <f>0.11</f>
        <v>0.11</v>
      </c>
    </row>
    <row r="5" spans="1:18" x14ac:dyDescent="0.25">
      <c r="A5" s="15" t="s">
        <v>18</v>
      </c>
      <c r="B5" s="16">
        <v>6.26</v>
      </c>
      <c r="C5" s="16"/>
      <c r="D5" s="16">
        <v>3.34</v>
      </c>
      <c r="E5" s="16"/>
      <c r="F5" s="17">
        <v>2.92</v>
      </c>
      <c r="G5" s="19"/>
      <c r="H5" s="16" t="s">
        <v>273</v>
      </c>
      <c r="I5" s="16"/>
      <c r="J5" s="16" t="s">
        <v>274</v>
      </c>
      <c r="K5" s="16"/>
      <c r="L5" s="17" t="s">
        <v>275</v>
      </c>
      <c r="M5" s="19"/>
      <c r="N5" s="16">
        <v>-0.03</v>
      </c>
      <c r="O5" s="16"/>
      <c r="P5" s="16">
        <f>0.39</f>
        <v>0.39</v>
      </c>
      <c r="Q5" s="16"/>
      <c r="R5" s="17">
        <v>-0.42</v>
      </c>
    </row>
    <row r="6" spans="1:18" x14ac:dyDescent="0.25">
      <c r="A6" s="15" t="s">
        <v>23</v>
      </c>
      <c r="B6" s="16">
        <v>6.29</v>
      </c>
      <c r="C6" s="16"/>
      <c r="D6" s="16">
        <v>5.33</v>
      </c>
      <c r="E6" s="16"/>
      <c r="F6" s="17">
        <v>0.96</v>
      </c>
      <c r="G6" s="19"/>
      <c r="H6" s="16" t="s">
        <v>110</v>
      </c>
      <c r="I6" s="16"/>
      <c r="J6" s="16" t="s">
        <v>238</v>
      </c>
      <c r="K6" s="16"/>
      <c r="L6" s="17" t="s">
        <v>176</v>
      </c>
      <c r="M6" s="19"/>
      <c r="N6" s="16">
        <v>-0.04</v>
      </c>
      <c r="O6" s="16"/>
      <c r="P6" s="16">
        <v>0.01</v>
      </c>
      <c r="Q6" s="16"/>
      <c r="R6" s="17">
        <v>-0.05</v>
      </c>
    </row>
    <row r="7" spans="1:18" x14ac:dyDescent="0.25">
      <c r="A7" s="15" t="s">
        <v>29</v>
      </c>
      <c r="B7" s="16">
        <v>6.53</v>
      </c>
      <c r="C7" s="16"/>
      <c r="D7" s="16">
        <v>5.53</v>
      </c>
      <c r="E7" s="16"/>
      <c r="F7" s="17">
        <v>1</v>
      </c>
      <c r="G7" s="19"/>
      <c r="H7" s="16" t="s">
        <v>276</v>
      </c>
      <c r="I7" s="16"/>
      <c r="J7" s="16" t="s">
        <v>277</v>
      </c>
      <c r="K7" s="16"/>
      <c r="L7" s="17" t="s">
        <v>176</v>
      </c>
      <c r="M7" s="19"/>
      <c r="N7" s="16">
        <v>0.04</v>
      </c>
      <c r="O7" s="16"/>
      <c r="P7" s="16">
        <v>0.05</v>
      </c>
      <c r="Q7" s="16"/>
      <c r="R7" s="17">
        <v>0.01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7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7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7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9"/>
  <sheetViews>
    <sheetView zoomScaleNormal="100" workbookViewId="0">
      <selection activeCell="N32" sqref="N32"/>
    </sheetView>
  </sheetViews>
  <sheetFormatPr defaultRowHeight="15" x14ac:dyDescent="0.25"/>
  <cols>
    <col min="1" max="1" width="60.85546875" style="5" customWidth="1"/>
    <col min="2" max="2" width="14.7109375" style="1" customWidth="1"/>
    <col min="3" max="3" width="1" style="1" customWidth="1"/>
    <col min="4" max="4" width="13.5703125" style="1" customWidth="1"/>
    <col min="5" max="5" width="0.7109375" style="1" customWidth="1"/>
    <col min="6" max="6" width="9.140625" style="1"/>
    <col min="7" max="7" width="0.7109375" style="5" customWidth="1"/>
    <col min="8" max="8" width="13.5703125" style="1" customWidth="1"/>
    <col min="9" max="9" width="0.7109375" style="1" customWidth="1"/>
    <col min="10" max="10" width="14.7109375" style="1" customWidth="1"/>
    <col min="11" max="11" width="0.5703125" style="1" customWidth="1"/>
    <col min="12" max="12" width="9.140625" style="1"/>
    <col min="13" max="13" width="1" style="5" customWidth="1"/>
    <col min="14" max="14" width="14.85546875" style="7" customWidth="1"/>
    <col min="15" max="15" width="0.85546875" style="7" customWidth="1"/>
    <col min="16" max="16" width="12.5703125" style="7" customWidth="1"/>
    <col min="17" max="17" width="1" style="7" customWidth="1"/>
    <col min="18" max="18" width="12.7109375" style="7" customWidth="1"/>
    <col min="19" max="16384" width="9.140625" style="5"/>
  </cols>
  <sheetData>
    <row r="1" spans="1:18" ht="15.75" x14ac:dyDescent="0.25">
      <c r="A1" s="33" t="s">
        <v>127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127</v>
      </c>
      <c r="B3" s="18">
        <v>6.12</v>
      </c>
      <c r="C3" s="18"/>
      <c r="D3" s="18">
        <v>5.2</v>
      </c>
      <c r="E3" s="2"/>
      <c r="F3" s="10">
        <f>6.12-5.2</f>
        <v>0.91999999999999993</v>
      </c>
      <c r="G3" s="19"/>
      <c r="H3" s="18" t="s">
        <v>121</v>
      </c>
      <c r="I3" s="18"/>
      <c r="J3" s="18" t="s">
        <v>128</v>
      </c>
      <c r="K3" s="8"/>
      <c r="L3" s="10" t="s">
        <v>129</v>
      </c>
      <c r="M3" s="19"/>
      <c r="N3" s="18">
        <f>6.12-6.14</f>
        <v>-1.9999999999999574E-2</v>
      </c>
      <c r="O3" s="18"/>
      <c r="P3" s="18">
        <f>5.2-5.19</f>
        <v>9.9999999999997868E-3</v>
      </c>
      <c r="Q3" s="8"/>
      <c r="R3" s="10">
        <f>0.92-0.95</f>
        <v>-2.9999999999999916E-2</v>
      </c>
    </row>
    <row r="4" spans="1:18" x14ac:dyDescent="0.25">
      <c r="A4" s="12" t="s">
        <v>0</v>
      </c>
      <c r="B4" s="13">
        <v>5.74</v>
      </c>
      <c r="C4" s="13"/>
      <c r="D4" s="13">
        <v>4.95</v>
      </c>
      <c r="E4" s="13"/>
      <c r="F4" s="14">
        <v>0.79</v>
      </c>
      <c r="G4" s="19"/>
      <c r="H4" s="13" t="s">
        <v>78</v>
      </c>
      <c r="I4" s="13"/>
      <c r="J4" s="13" t="s">
        <v>130</v>
      </c>
      <c r="K4" s="13"/>
      <c r="L4" s="14" t="s">
        <v>80</v>
      </c>
      <c r="M4" s="19"/>
      <c r="N4" s="13">
        <f>5.74-5.71</f>
        <v>3.0000000000000249E-2</v>
      </c>
      <c r="O4" s="13"/>
      <c r="P4" s="13">
        <f>4.95-4.91</f>
        <v>4.0000000000000036E-2</v>
      </c>
      <c r="Q4" s="13"/>
      <c r="R4" s="14">
        <f>0.79-0.8</f>
        <v>-1.0000000000000009E-2</v>
      </c>
    </row>
    <row r="5" spans="1:18" x14ac:dyDescent="0.25">
      <c r="A5" s="15" t="s">
        <v>1</v>
      </c>
      <c r="B5" s="16">
        <v>6.28</v>
      </c>
      <c r="C5" s="16"/>
      <c r="D5" s="16">
        <v>5.27</v>
      </c>
      <c r="E5" s="16"/>
      <c r="F5" s="17">
        <v>1.01</v>
      </c>
      <c r="G5" s="19"/>
      <c r="H5" s="16" t="s">
        <v>81</v>
      </c>
      <c r="I5" s="16"/>
      <c r="J5" s="16" t="s">
        <v>131</v>
      </c>
      <c r="K5" s="16"/>
      <c r="L5" s="17" t="s">
        <v>83</v>
      </c>
      <c r="M5" s="19"/>
      <c r="N5" s="16">
        <f>6.28-6.36</f>
        <v>-8.0000000000000071E-2</v>
      </c>
      <c r="O5" s="16"/>
      <c r="P5" s="16">
        <f>5.27-5.29</f>
        <v>-2.0000000000000462E-2</v>
      </c>
      <c r="Q5" s="16"/>
      <c r="R5" s="17">
        <f>1.01-1.07</f>
        <v>-6.0000000000000053E-2</v>
      </c>
    </row>
    <row r="6" spans="1:18" x14ac:dyDescent="0.25">
      <c r="A6" s="15" t="s">
        <v>9</v>
      </c>
      <c r="B6" s="16">
        <v>5.93</v>
      </c>
      <c r="C6" s="16"/>
      <c r="D6" s="16">
        <v>5.09</v>
      </c>
      <c r="E6" s="16"/>
      <c r="F6" s="17">
        <v>0.84</v>
      </c>
      <c r="G6" s="19"/>
      <c r="H6" s="16" t="s">
        <v>90</v>
      </c>
      <c r="I6" s="16"/>
      <c r="J6" s="16" t="s">
        <v>91</v>
      </c>
      <c r="K6" s="16"/>
      <c r="L6" s="17" t="s">
        <v>92</v>
      </c>
      <c r="M6" s="19"/>
      <c r="N6" s="16">
        <f>5.93-5.85</f>
        <v>8.0000000000000071E-2</v>
      </c>
      <c r="O6" s="16"/>
      <c r="P6" s="16">
        <f>5.09-5.04</f>
        <v>4.9999999999999822E-2</v>
      </c>
      <c r="Q6" s="16"/>
      <c r="R6" s="17">
        <f>0.84-0.81</f>
        <v>2.9999999999999916E-2</v>
      </c>
    </row>
    <row r="7" spans="1:18" x14ac:dyDescent="0.25">
      <c r="A7" s="15" t="s">
        <v>24</v>
      </c>
      <c r="B7" s="16">
        <v>6.31</v>
      </c>
      <c r="C7" s="16"/>
      <c r="D7" s="16">
        <v>5.34</v>
      </c>
      <c r="E7" s="16"/>
      <c r="F7" s="17">
        <v>0.97</v>
      </c>
      <c r="G7" s="19"/>
      <c r="H7" s="16" t="s">
        <v>93</v>
      </c>
      <c r="I7" s="16"/>
      <c r="J7" s="16" t="s">
        <v>132</v>
      </c>
      <c r="K7" s="16"/>
      <c r="L7" s="17" t="s">
        <v>95</v>
      </c>
      <c r="M7" s="19"/>
      <c r="N7" s="16">
        <f>6.31-6.37</f>
        <v>-6.0000000000000497E-2</v>
      </c>
      <c r="O7" s="16"/>
      <c r="P7" s="16">
        <f>5.34-5.34</f>
        <v>0</v>
      </c>
      <c r="Q7" s="16"/>
      <c r="R7" s="17">
        <f>0.97-1.03</f>
        <v>-6.0000000000000053E-2</v>
      </c>
    </row>
    <row r="8" spans="1:18" x14ac:dyDescent="0.25">
      <c r="A8" s="15" t="s">
        <v>37</v>
      </c>
      <c r="B8" s="16">
        <v>6.18</v>
      </c>
      <c r="C8" s="16"/>
      <c r="D8" s="16">
        <v>5.42</v>
      </c>
      <c r="E8" s="16"/>
      <c r="F8" s="17">
        <v>0.76</v>
      </c>
      <c r="G8" s="19"/>
      <c r="H8" s="16" t="s">
        <v>102</v>
      </c>
      <c r="I8" s="16"/>
      <c r="J8" s="16" t="s">
        <v>116</v>
      </c>
      <c r="K8" s="16"/>
      <c r="L8" s="17" t="s">
        <v>80</v>
      </c>
      <c r="M8" s="19"/>
      <c r="N8" s="16">
        <f>6.18-6.2</f>
        <v>-2.0000000000000462E-2</v>
      </c>
      <c r="O8" s="16"/>
      <c r="P8" s="16">
        <f>5.42-5.4</f>
        <v>1.9999999999999574E-2</v>
      </c>
      <c r="Q8" s="16"/>
      <c r="R8" s="17">
        <f>0.76-0.8</f>
        <v>-4.0000000000000036E-2</v>
      </c>
    </row>
    <row r="9" spans="1:18" x14ac:dyDescent="0.25">
      <c r="A9" s="15" t="s">
        <v>48</v>
      </c>
      <c r="B9" s="16">
        <v>6.3</v>
      </c>
      <c r="C9" s="16"/>
      <c r="D9" s="16">
        <v>5.16</v>
      </c>
      <c r="E9" s="16"/>
      <c r="F9" s="17">
        <v>1.1399999999999999</v>
      </c>
      <c r="G9" s="19"/>
      <c r="H9" s="16" t="s">
        <v>110</v>
      </c>
      <c r="I9" s="16"/>
      <c r="J9" s="16" t="s">
        <v>133</v>
      </c>
      <c r="K9" s="16"/>
      <c r="L9" s="17" t="s">
        <v>112</v>
      </c>
      <c r="M9" s="19"/>
      <c r="N9" s="16">
        <f>6.3-6.33</f>
        <v>-3.0000000000000249E-2</v>
      </c>
      <c r="O9" s="16"/>
      <c r="P9" s="16">
        <f>5.16-5.15</f>
        <v>9.9999999999997868E-3</v>
      </c>
      <c r="Q9" s="16"/>
      <c r="R9" s="17">
        <f>1.14-1.18</f>
        <v>-4.0000000000000036E-2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9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9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9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11"/>
  <sheetViews>
    <sheetView workbookViewId="0">
      <selection activeCell="H36" sqref="H36"/>
    </sheetView>
  </sheetViews>
  <sheetFormatPr defaultRowHeight="15" x14ac:dyDescent="0.25"/>
  <cols>
    <col min="1" max="1" width="82.28515625" customWidth="1"/>
    <col min="2" max="2" width="13.85546875" style="1" customWidth="1"/>
    <col min="3" max="3" width="0.7109375" style="1" customWidth="1"/>
    <col min="4" max="4" width="16.5703125" style="1" customWidth="1"/>
    <col min="5" max="5" width="0.7109375" style="1" customWidth="1"/>
    <col min="6" max="6" width="9.140625" style="1"/>
    <col min="7" max="7" width="0.7109375" customWidth="1"/>
    <col min="8" max="8" width="15.85546875" customWidth="1"/>
    <col min="9" max="9" width="1.140625" customWidth="1"/>
    <col min="10" max="10" width="15.7109375" customWidth="1"/>
    <col min="11" max="11" width="0.85546875" customWidth="1"/>
    <col min="13" max="13" width="0.85546875" customWidth="1"/>
    <col min="14" max="14" width="16" customWidth="1"/>
    <col min="15" max="15" width="0.85546875" customWidth="1"/>
    <col min="16" max="16" width="17.28515625" customWidth="1"/>
    <col min="17" max="17" width="1.140625" customWidth="1"/>
  </cols>
  <sheetData>
    <row r="1" spans="1:18" ht="24.75" customHeight="1" x14ac:dyDescent="0.25">
      <c r="A1" s="33" t="s">
        <v>281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15.75" customHeight="1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281</v>
      </c>
      <c r="B3" s="18">
        <v>6.03</v>
      </c>
      <c r="C3" s="18"/>
      <c r="D3" s="18">
        <v>5.22</v>
      </c>
      <c r="E3" s="2"/>
      <c r="F3" s="10">
        <v>0.81</v>
      </c>
      <c r="G3" s="19"/>
      <c r="H3" s="18" t="s">
        <v>84</v>
      </c>
      <c r="I3" s="18"/>
      <c r="J3" s="18" t="s">
        <v>111</v>
      </c>
      <c r="K3" s="8"/>
      <c r="L3" s="10" t="s">
        <v>207</v>
      </c>
      <c r="M3" s="19"/>
      <c r="N3" s="18">
        <v>-0.03</v>
      </c>
      <c r="O3" s="18"/>
      <c r="P3" s="18">
        <v>7.0000000000000007E-2</v>
      </c>
      <c r="Q3" s="8"/>
      <c r="R3" s="10">
        <v>-0.1</v>
      </c>
    </row>
    <row r="4" spans="1:18" x14ac:dyDescent="0.25">
      <c r="A4" s="12" t="s">
        <v>1</v>
      </c>
      <c r="B4" s="13">
        <v>6.28</v>
      </c>
      <c r="C4" s="13"/>
      <c r="D4" s="13">
        <v>5.27</v>
      </c>
      <c r="E4" s="13"/>
      <c r="F4" s="14">
        <v>1.01</v>
      </c>
      <c r="G4" s="19"/>
      <c r="H4" s="13" t="s">
        <v>81</v>
      </c>
      <c r="I4" s="13"/>
      <c r="J4" s="13" t="s">
        <v>131</v>
      </c>
      <c r="K4" s="13"/>
      <c r="L4" s="14" t="s">
        <v>83</v>
      </c>
      <c r="M4" s="19"/>
      <c r="N4" s="13">
        <f>6.28-6.36</f>
        <v>-8.0000000000000071E-2</v>
      </c>
      <c r="O4" s="13"/>
      <c r="P4" s="13">
        <f>5.27-5.29</f>
        <v>-2.0000000000000462E-2</v>
      </c>
      <c r="Q4" s="13"/>
      <c r="R4" s="14">
        <f>1.01-1.07</f>
        <v>-6.0000000000000053E-2</v>
      </c>
    </row>
    <row r="5" spans="1:18" x14ac:dyDescent="0.25">
      <c r="A5" s="15" t="s">
        <v>11</v>
      </c>
      <c r="B5" s="16">
        <v>5.8</v>
      </c>
      <c r="C5" s="16"/>
      <c r="D5" s="16">
        <v>5.93</v>
      </c>
      <c r="E5" s="16"/>
      <c r="F5" s="17">
        <v>-0.13</v>
      </c>
      <c r="G5" s="19"/>
      <c r="H5" s="16" t="s">
        <v>228</v>
      </c>
      <c r="I5" s="16"/>
      <c r="J5" s="16" t="s">
        <v>282</v>
      </c>
      <c r="K5" s="16"/>
      <c r="L5" s="17" t="s">
        <v>230</v>
      </c>
      <c r="M5" s="19"/>
      <c r="N5" s="16">
        <f>5.8-5.76</f>
        <v>4.0000000000000036E-2</v>
      </c>
      <c r="O5" s="16"/>
      <c r="P5" s="16">
        <f>5.93-5.86</f>
        <v>6.9999999999999396E-2</v>
      </c>
      <c r="Q5" s="16"/>
      <c r="R5" s="17">
        <f>(-0.13)-(-0.1)</f>
        <v>-0.03</v>
      </c>
    </row>
    <row r="6" spans="1:18" x14ac:dyDescent="0.25">
      <c r="A6" s="15" t="s">
        <v>13</v>
      </c>
      <c r="B6" s="16">
        <v>5.92</v>
      </c>
      <c r="C6" s="16"/>
      <c r="D6" s="16">
        <v>5.35</v>
      </c>
      <c r="E6" s="16"/>
      <c r="F6" s="17">
        <v>0.56999999999999995</v>
      </c>
      <c r="G6" s="19"/>
      <c r="H6" s="16" t="s">
        <v>243</v>
      </c>
      <c r="I6" s="16"/>
      <c r="J6" s="16" t="s">
        <v>283</v>
      </c>
      <c r="K6" s="16"/>
      <c r="L6" s="17" t="s">
        <v>284</v>
      </c>
      <c r="M6" s="19"/>
      <c r="N6" s="16">
        <f>5.92-5.93</f>
        <v>-9.9999999999997868E-3</v>
      </c>
      <c r="O6" s="16"/>
      <c r="P6" s="16">
        <f>5.26-5.35</f>
        <v>-8.9999999999999858E-2</v>
      </c>
      <c r="Q6" s="16"/>
      <c r="R6" s="17">
        <f>0.57-0.67</f>
        <v>-0.10000000000000009</v>
      </c>
    </row>
    <row r="7" spans="1:18" x14ac:dyDescent="0.25">
      <c r="A7" s="15" t="s">
        <v>19</v>
      </c>
      <c r="B7" s="16">
        <v>6.05</v>
      </c>
      <c r="C7" s="16"/>
      <c r="D7" s="16">
        <v>5.2</v>
      </c>
      <c r="E7" s="16"/>
      <c r="F7" s="17">
        <v>0.85</v>
      </c>
      <c r="G7" s="19"/>
      <c r="H7" s="16" t="s">
        <v>124</v>
      </c>
      <c r="I7" s="16"/>
      <c r="J7" s="16" t="s">
        <v>177</v>
      </c>
      <c r="K7" s="16"/>
      <c r="L7" s="17" t="s">
        <v>279</v>
      </c>
      <c r="M7" s="19"/>
      <c r="N7" s="16">
        <f>6.05-6.1</f>
        <v>-4.9999999999999822E-2</v>
      </c>
      <c r="O7" s="16"/>
      <c r="P7" s="16">
        <f>5.2-5</f>
        <v>0.20000000000000018</v>
      </c>
      <c r="Q7" s="16"/>
      <c r="R7" s="17">
        <f>0.85-1.1</f>
        <v>-0.25000000000000011</v>
      </c>
    </row>
    <row r="8" spans="1:18" x14ac:dyDescent="0.25">
      <c r="A8" t="s">
        <v>22</v>
      </c>
      <c r="B8" s="16">
        <v>6.16</v>
      </c>
      <c r="C8" s="16"/>
      <c r="D8" s="16">
        <v>5.43</v>
      </c>
      <c r="E8" s="16"/>
      <c r="F8" s="17">
        <v>0.73</v>
      </c>
      <c r="G8" s="19"/>
      <c r="H8" s="16" t="s">
        <v>231</v>
      </c>
      <c r="I8" s="16"/>
      <c r="J8" s="16" t="s">
        <v>285</v>
      </c>
      <c r="K8" s="16"/>
      <c r="L8" s="17" t="s">
        <v>77</v>
      </c>
      <c r="M8" s="19"/>
      <c r="N8" s="16">
        <f>6.16-6.23</f>
        <v>-7.0000000000000284E-2</v>
      </c>
      <c r="O8" s="16"/>
      <c r="P8" s="16">
        <f>5.43-5.31</f>
        <v>0.12000000000000011</v>
      </c>
      <c r="Q8" s="16"/>
      <c r="R8" s="17">
        <f>0.73-0.92</f>
        <v>-0.19000000000000006</v>
      </c>
    </row>
    <row r="9" spans="1:18" x14ac:dyDescent="0.25">
      <c r="A9" s="15" t="s">
        <v>46</v>
      </c>
      <c r="B9" s="16">
        <v>6.23</v>
      </c>
      <c r="C9" s="16"/>
      <c r="D9" s="16">
        <v>4.7300000000000004</v>
      </c>
      <c r="E9" s="16"/>
      <c r="F9" s="17">
        <v>1.5</v>
      </c>
      <c r="G9" s="19"/>
      <c r="H9" s="16" t="s">
        <v>107</v>
      </c>
      <c r="I9" s="16"/>
      <c r="J9" s="16" t="s">
        <v>108</v>
      </c>
      <c r="K9" s="16"/>
      <c r="L9" s="17" t="s">
        <v>109</v>
      </c>
      <c r="M9" s="19"/>
      <c r="N9" s="16">
        <f>6.23-6.28</f>
        <v>-4.9999999999999822E-2</v>
      </c>
      <c r="O9" s="16"/>
      <c r="P9" s="16">
        <f>4.73-4.73</f>
        <v>0</v>
      </c>
      <c r="Q9" s="16"/>
      <c r="R9" s="17">
        <f>1.5-1.55</f>
        <v>-5.0000000000000044E-2</v>
      </c>
    </row>
    <row r="10" spans="1:18" x14ac:dyDescent="0.25">
      <c r="A10" s="15" t="s">
        <v>49</v>
      </c>
      <c r="B10" s="16">
        <v>5.65</v>
      </c>
      <c r="C10" s="16"/>
      <c r="D10" s="16">
        <v>5.08</v>
      </c>
      <c r="E10" s="16"/>
      <c r="F10" s="17">
        <v>0.56999999999999995</v>
      </c>
      <c r="G10" s="19"/>
      <c r="H10" s="16" t="s">
        <v>96</v>
      </c>
      <c r="I10" s="16"/>
      <c r="J10" s="16" t="s">
        <v>286</v>
      </c>
      <c r="K10" s="16"/>
      <c r="L10" s="17" t="s">
        <v>114</v>
      </c>
      <c r="M10" s="19"/>
      <c r="N10" s="16">
        <f>5.65-5.65</f>
        <v>0</v>
      </c>
      <c r="O10" s="16"/>
      <c r="P10" s="16">
        <f>5.08-5.03</f>
        <v>4.9999999999999822E-2</v>
      </c>
      <c r="Q10" s="16"/>
      <c r="R10" s="17">
        <f>0.57-0.62</f>
        <v>-5.0000000000000044E-2</v>
      </c>
    </row>
    <row r="11" spans="1:18" x14ac:dyDescent="0.25">
      <c r="A11" s="15" t="s">
        <v>61</v>
      </c>
      <c r="B11" s="16">
        <v>6.11</v>
      </c>
      <c r="C11" s="16"/>
      <c r="D11" s="16">
        <v>4.79</v>
      </c>
      <c r="E11" s="16"/>
      <c r="F11" s="17">
        <v>1.32</v>
      </c>
      <c r="G11" s="19"/>
      <c r="H11" s="16" t="s">
        <v>124</v>
      </c>
      <c r="I11" s="16"/>
      <c r="J11" s="16" t="s">
        <v>125</v>
      </c>
      <c r="K11" s="16"/>
      <c r="L11" s="17" t="s">
        <v>126</v>
      </c>
      <c r="M11" s="19"/>
      <c r="N11" s="16">
        <f>6.11-6.1</f>
        <v>1.0000000000000675E-2</v>
      </c>
      <c r="O11" s="16"/>
      <c r="P11" s="16">
        <f>4.79-4.68</f>
        <v>0.11000000000000032</v>
      </c>
      <c r="Q11" s="16"/>
      <c r="R11" s="17">
        <f>1.32-1.42</f>
        <v>-9.9999999999999867E-2</v>
      </c>
    </row>
  </sheetData>
  <mergeCells count="4">
    <mergeCell ref="B1:F1"/>
    <mergeCell ref="H1:L1"/>
    <mergeCell ref="N1:R1"/>
    <mergeCell ref="A1:A2"/>
  </mergeCells>
  <conditionalFormatting sqref="R3">
    <cfRule type="iconSet" priority="11">
      <iconSet iconSet="3Arrows" reverse="1">
        <cfvo type="percent" val="0"/>
        <cfvo type="num" val="0"/>
        <cfvo type="num" val="0"/>
      </iconSet>
    </cfRule>
  </conditionalFormatting>
  <conditionalFormatting sqref="R4:R7">
    <cfRule type="iconSet" priority="10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9">
      <iconSet iconSet="3Arrows">
        <cfvo type="percent" val="0"/>
        <cfvo type="num" val="0"/>
        <cfvo type="num" val="9.9999999999999995E-8"/>
      </iconSet>
    </cfRule>
  </conditionalFormatting>
  <conditionalFormatting sqref="N4:N7">
    <cfRule type="iconSet" priority="8">
      <iconSet iconSet="3Arrows">
        <cfvo type="percent" val="0"/>
        <cfvo type="num" val="0"/>
        <cfvo type="num" val="9.9999999999999995E-8"/>
      </iconSet>
    </cfRule>
  </conditionalFormatting>
  <conditionalFormatting sqref="P3:P7">
    <cfRule type="iconSet" priority="7">
      <iconSet iconSet="3Arrows">
        <cfvo type="percent" val="0"/>
        <cfvo type="num" val="0"/>
        <cfvo type="num" val="9.9999999999999995E-8"/>
      </iconSet>
    </cfRule>
  </conditionalFormatting>
  <conditionalFormatting sqref="R8:R9">
    <cfRule type="iconSet" priority="6">
      <iconSet iconSet="3Arrows" reverse="1">
        <cfvo type="percent" val="0"/>
        <cfvo type="num" val="0"/>
        <cfvo type="num" val="0"/>
      </iconSet>
    </cfRule>
  </conditionalFormatting>
  <conditionalFormatting sqref="N8:N9">
    <cfRule type="iconSet" priority="5">
      <iconSet iconSet="3Arrows">
        <cfvo type="percent" val="0"/>
        <cfvo type="num" val="0"/>
        <cfvo type="num" val="9.9999999999999995E-8"/>
      </iconSet>
    </cfRule>
  </conditionalFormatting>
  <conditionalFormatting sqref="P8:P9">
    <cfRule type="iconSet" priority="4">
      <iconSet iconSet="3Arrows">
        <cfvo type="percent" val="0"/>
        <cfvo type="num" val="0"/>
        <cfvo type="num" val="9.9999999999999995E-8"/>
      </iconSet>
    </cfRule>
  </conditionalFormatting>
  <conditionalFormatting sqref="R10:R11">
    <cfRule type="iconSet" priority="3">
      <iconSet iconSet="3Arrows" reverse="1">
        <cfvo type="percent" val="0"/>
        <cfvo type="num" val="0"/>
        <cfvo type="num" val="0"/>
      </iconSet>
    </cfRule>
  </conditionalFormatting>
  <conditionalFormatting sqref="N10:N11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10:P11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8" sqref="N3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"/>
  <sheetViews>
    <sheetView workbookViewId="0">
      <selection activeCell="H27" sqref="H27"/>
    </sheetView>
  </sheetViews>
  <sheetFormatPr defaultRowHeight="15" x14ac:dyDescent="0.25"/>
  <cols>
    <col min="1" max="1" width="82.28515625" customWidth="1"/>
    <col min="2" max="2" width="15.5703125" style="1" customWidth="1"/>
    <col min="3" max="3" width="0.85546875" style="1" customWidth="1"/>
    <col min="4" max="4" width="19.140625" style="1" customWidth="1"/>
    <col min="5" max="5" width="1" style="1" customWidth="1"/>
    <col min="6" max="6" width="9.140625" style="1"/>
    <col min="7" max="7" width="0.85546875" customWidth="1"/>
    <col min="8" max="8" width="19.5703125" style="1" customWidth="1"/>
    <col min="9" max="9" width="1" style="1" customWidth="1"/>
    <col min="10" max="10" width="20.7109375" style="1" customWidth="1"/>
    <col min="11" max="11" width="0.85546875" style="1" customWidth="1"/>
    <col min="12" max="12" width="9.140625" style="1"/>
    <col min="13" max="13" width="0.5703125" customWidth="1"/>
    <col min="14" max="14" width="22.42578125" customWidth="1"/>
    <col min="15" max="15" width="0.5703125" customWidth="1"/>
    <col min="16" max="16" width="18.7109375" customWidth="1"/>
    <col min="17" max="17" width="0.85546875" customWidth="1"/>
  </cols>
  <sheetData>
    <row r="1" spans="1:18" ht="15.75" x14ac:dyDescent="0.25">
      <c r="A1" s="33" t="s">
        <v>246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17.25" customHeight="1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246</v>
      </c>
      <c r="B3" s="18">
        <v>6.45</v>
      </c>
      <c r="C3" s="18"/>
      <c r="D3" s="18">
        <v>5.36</v>
      </c>
      <c r="E3" s="2"/>
      <c r="F3" s="10">
        <v>1.0900000000000001</v>
      </c>
      <c r="G3" s="19"/>
      <c r="H3" s="18" t="s">
        <v>247</v>
      </c>
      <c r="I3" s="18"/>
      <c r="J3" s="18" t="s">
        <v>248</v>
      </c>
      <c r="K3" s="8"/>
      <c r="L3" s="10" t="s">
        <v>249</v>
      </c>
      <c r="M3" s="19"/>
      <c r="N3" s="18">
        <v>0.03</v>
      </c>
      <c r="O3" s="18"/>
      <c r="P3" s="18">
        <v>0.15</v>
      </c>
      <c r="Q3" s="8"/>
      <c r="R3" s="10">
        <v>-0.12</v>
      </c>
    </row>
    <row r="4" spans="1:18" x14ac:dyDescent="0.25">
      <c r="A4" s="12" t="s">
        <v>5</v>
      </c>
      <c r="B4" s="13">
        <v>6.53</v>
      </c>
      <c r="C4" s="13"/>
      <c r="D4" s="13">
        <v>5.5</v>
      </c>
      <c r="E4" s="13"/>
      <c r="F4" s="14">
        <v>1.03</v>
      </c>
      <c r="G4" s="19"/>
      <c r="H4" s="13" t="s">
        <v>250</v>
      </c>
      <c r="I4" s="13"/>
      <c r="J4" s="13" t="s">
        <v>132</v>
      </c>
      <c r="K4" s="13"/>
      <c r="L4" s="14" t="s">
        <v>251</v>
      </c>
      <c r="M4" s="19"/>
      <c r="N4" s="13">
        <f>6.53-6.51</f>
        <v>2.0000000000000462E-2</v>
      </c>
      <c r="O4" s="13"/>
      <c r="P4" s="13">
        <f>5.5-5.34</f>
        <v>0.16000000000000014</v>
      </c>
      <c r="Q4" s="13"/>
      <c r="R4" s="14">
        <f>1.03-1.17</f>
        <v>-0.1399999999999999</v>
      </c>
    </row>
    <row r="5" spans="1:18" x14ac:dyDescent="0.25">
      <c r="A5" s="15" t="s">
        <v>12</v>
      </c>
      <c r="B5" s="16">
        <v>6.37</v>
      </c>
      <c r="C5" s="16"/>
      <c r="D5" s="16">
        <v>5.26</v>
      </c>
      <c r="E5" s="16"/>
      <c r="F5" s="17">
        <v>1.1100000000000001</v>
      </c>
      <c r="G5" s="19"/>
      <c r="H5" s="16" t="s">
        <v>215</v>
      </c>
      <c r="I5" s="16"/>
      <c r="J5" s="16" t="s">
        <v>252</v>
      </c>
      <c r="K5" s="16"/>
      <c r="L5" s="17" t="s">
        <v>242</v>
      </c>
      <c r="M5" s="19"/>
      <c r="N5" s="16">
        <f>6.37-6.32</f>
        <v>4.9999999999999822E-2</v>
      </c>
      <c r="O5" s="16"/>
      <c r="P5" s="16">
        <f>5.26-5.06</f>
        <v>0.20000000000000018</v>
      </c>
      <c r="Q5" s="16"/>
      <c r="R5" s="17">
        <f>1.11-1.26</f>
        <v>-0.14999999999999991</v>
      </c>
    </row>
    <row r="6" spans="1:18" x14ac:dyDescent="0.25">
      <c r="A6" s="15" t="s">
        <v>17</v>
      </c>
      <c r="B6" s="16">
        <v>6.14</v>
      </c>
      <c r="C6" s="16"/>
      <c r="D6" s="16">
        <v>5.03</v>
      </c>
      <c r="E6" s="16"/>
      <c r="F6" s="17">
        <v>1.1100000000000001</v>
      </c>
      <c r="G6" s="19"/>
      <c r="H6" s="16" t="s">
        <v>253</v>
      </c>
      <c r="I6" s="16"/>
      <c r="J6" s="16" t="s">
        <v>254</v>
      </c>
      <c r="K6" s="16"/>
      <c r="L6" s="17" t="s">
        <v>255</v>
      </c>
      <c r="M6" s="19"/>
      <c r="N6" s="16">
        <f>6.14-6.01</f>
        <v>0.12999999999999989</v>
      </c>
      <c r="O6" s="16"/>
      <c r="P6" s="16">
        <f>5.03-4.65</f>
        <v>0.37999999999999989</v>
      </c>
      <c r="Q6" s="16"/>
      <c r="R6" s="17">
        <f>1.11-1.36</f>
        <v>-0.25</v>
      </c>
    </row>
    <row r="7" spans="1:18" x14ac:dyDescent="0.25">
      <c r="A7" s="15" t="s">
        <v>27</v>
      </c>
      <c r="B7" s="16">
        <v>6.64</v>
      </c>
      <c r="C7" s="16"/>
      <c r="D7" s="16">
        <v>5.55</v>
      </c>
      <c r="E7" s="16"/>
      <c r="F7" s="17">
        <v>1.0900000000000001</v>
      </c>
      <c r="G7" s="19"/>
      <c r="H7" s="16" t="s">
        <v>178</v>
      </c>
      <c r="I7" s="16"/>
      <c r="J7" s="16" t="s">
        <v>256</v>
      </c>
      <c r="K7" s="16"/>
      <c r="L7" s="17" t="s">
        <v>257</v>
      </c>
      <c r="M7" s="19"/>
      <c r="N7" s="16">
        <f>6.64-6.65</f>
        <v>-1.0000000000000675E-2</v>
      </c>
      <c r="O7" s="16"/>
      <c r="P7" s="16">
        <f>5.55-5.45</f>
        <v>9.9999999999999645E-2</v>
      </c>
      <c r="Q7" s="16"/>
      <c r="R7" s="17">
        <f>1.09-1.2</f>
        <v>-0.10999999999999988</v>
      </c>
    </row>
    <row r="8" spans="1:18" x14ac:dyDescent="0.25">
      <c r="A8" s="15" t="s">
        <v>44</v>
      </c>
      <c r="B8" s="16">
        <v>6.57</v>
      </c>
      <c r="C8" s="16"/>
      <c r="D8" s="16">
        <v>5.46</v>
      </c>
      <c r="E8" s="16"/>
      <c r="F8" s="17">
        <v>1.1100000000000001</v>
      </c>
      <c r="G8" s="19"/>
      <c r="H8" s="16" t="s">
        <v>258</v>
      </c>
      <c r="I8" s="16"/>
      <c r="J8" s="16" t="s">
        <v>259</v>
      </c>
      <c r="K8" s="16"/>
      <c r="L8" s="17" t="s">
        <v>86</v>
      </c>
      <c r="M8" s="19"/>
      <c r="N8" s="16">
        <f>6.57-6.59</f>
        <v>-1.9999999999999574E-2</v>
      </c>
      <c r="O8" s="16"/>
      <c r="P8" s="16">
        <f>5.46-5.53</f>
        <v>-7.0000000000000284E-2</v>
      </c>
      <c r="Q8" s="16"/>
      <c r="R8" s="17">
        <f>1.11-1.06</f>
        <v>5.0000000000000044E-2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8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8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8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0"/>
  <sheetViews>
    <sheetView zoomScaleNormal="100" workbookViewId="0">
      <selection activeCell="A3" sqref="A3:R20"/>
    </sheetView>
  </sheetViews>
  <sheetFormatPr defaultRowHeight="15" x14ac:dyDescent="0.25"/>
  <cols>
    <col min="1" max="1" width="68.85546875" customWidth="1"/>
    <col min="2" max="2" width="12.85546875" style="1" customWidth="1"/>
    <col min="3" max="3" width="0.85546875" style="1" customWidth="1"/>
    <col min="4" max="4" width="13.28515625" style="1" customWidth="1"/>
    <col min="5" max="5" width="0.85546875" style="1" customWidth="1"/>
    <col min="6" max="6" width="9.28515625" style="1" customWidth="1"/>
    <col min="7" max="7" width="1.140625" customWidth="1"/>
    <col min="8" max="8" width="12.5703125" style="1" customWidth="1"/>
    <col min="9" max="9" width="0.5703125" style="1" customWidth="1"/>
    <col min="10" max="10" width="11.85546875" style="1" customWidth="1"/>
    <col min="11" max="11" width="0.5703125" style="1" customWidth="1"/>
    <col min="12" max="12" width="8" style="1" customWidth="1"/>
    <col min="13" max="13" width="1.28515625" customWidth="1"/>
    <col min="14" max="14" width="12.42578125" style="1" customWidth="1"/>
    <col min="15" max="15" width="0.7109375" customWidth="1"/>
    <col min="16" max="16" width="11.140625" customWidth="1"/>
    <col min="17" max="17" width="0.42578125" customWidth="1"/>
  </cols>
  <sheetData>
    <row r="1" spans="1:18" ht="15.75" x14ac:dyDescent="0.25">
      <c r="A1" s="33" t="s">
        <v>74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30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26" t="s">
        <v>0</v>
      </c>
      <c r="B3" s="28">
        <v>5.74</v>
      </c>
      <c r="C3" s="28"/>
      <c r="D3" s="28">
        <v>4.95</v>
      </c>
      <c r="E3" s="28"/>
      <c r="F3" s="31">
        <v>0.79</v>
      </c>
      <c r="G3" s="19"/>
      <c r="H3" s="28" t="s">
        <v>78</v>
      </c>
      <c r="I3" s="28"/>
      <c r="J3" s="28" t="s">
        <v>79</v>
      </c>
      <c r="K3" s="28"/>
      <c r="L3" s="31" t="s">
        <v>80</v>
      </c>
      <c r="M3" s="19"/>
      <c r="N3" s="28">
        <v>0.03</v>
      </c>
      <c r="O3" s="28"/>
      <c r="P3" s="28">
        <v>0.04</v>
      </c>
      <c r="Q3" s="28"/>
      <c r="R3" s="31">
        <v>-0.01</v>
      </c>
    </row>
    <row r="4" spans="1:18" x14ac:dyDescent="0.25">
      <c r="A4" s="12" t="s">
        <v>9</v>
      </c>
      <c r="B4" s="13">
        <v>5.93</v>
      </c>
      <c r="C4" s="13"/>
      <c r="D4" s="13">
        <v>5.09</v>
      </c>
      <c r="E4" s="13"/>
      <c r="F4" s="14">
        <v>0.84</v>
      </c>
      <c r="G4" s="19"/>
      <c r="H4" s="13" t="s">
        <v>90</v>
      </c>
      <c r="I4" s="13"/>
      <c r="J4" s="13" t="s">
        <v>91</v>
      </c>
      <c r="K4" s="13"/>
      <c r="L4" s="14" t="s">
        <v>92</v>
      </c>
      <c r="M4" s="19"/>
      <c r="N4" s="13">
        <v>0.08</v>
      </c>
      <c r="O4" s="13"/>
      <c r="P4" s="13">
        <v>0.05</v>
      </c>
      <c r="Q4" s="13"/>
      <c r="R4" s="14">
        <f>0.84-0.81</f>
        <v>2.9999999999999916E-2</v>
      </c>
    </row>
    <row r="5" spans="1:18" x14ac:dyDescent="0.25">
      <c r="A5" s="15" t="s">
        <v>1</v>
      </c>
      <c r="B5" s="16">
        <v>6.28</v>
      </c>
      <c r="C5" s="16"/>
      <c r="D5" s="16">
        <v>5.27</v>
      </c>
      <c r="E5" s="16"/>
      <c r="F5" s="17">
        <v>1.01</v>
      </c>
      <c r="G5" s="19"/>
      <c r="H5" s="16" t="s">
        <v>81</v>
      </c>
      <c r="I5" s="16"/>
      <c r="J5" s="16" t="s">
        <v>82</v>
      </c>
      <c r="K5" s="16"/>
      <c r="L5" s="17" t="s">
        <v>83</v>
      </c>
      <c r="M5" s="19"/>
      <c r="N5" s="16">
        <v>-0.08</v>
      </c>
      <c r="O5" s="16"/>
      <c r="P5" s="16">
        <v>-0.02</v>
      </c>
      <c r="Q5" s="16"/>
      <c r="R5" s="17">
        <v>-0.06</v>
      </c>
    </row>
    <row r="6" spans="1:18" x14ac:dyDescent="0.25">
      <c r="A6" s="15" t="s">
        <v>24</v>
      </c>
      <c r="B6" s="16">
        <v>6.31</v>
      </c>
      <c r="C6" s="16"/>
      <c r="D6" s="16">
        <v>5.34</v>
      </c>
      <c r="E6" s="16"/>
      <c r="F6" s="17">
        <v>0.97</v>
      </c>
      <c r="G6" s="19"/>
      <c r="H6" s="16" t="s">
        <v>93</v>
      </c>
      <c r="I6" s="16"/>
      <c r="J6" s="16" t="s">
        <v>94</v>
      </c>
      <c r="K6" s="16"/>
      <c r="L6" s="17" t="s">
        <v>95</v>
      </c>
      <c r="M6" s="19"/>
      <c r="N6" s="16">
        <v>-0.06</v>
      </c>
      <c r="O6" s="16"/>
      <c r="P6" s="16">
        <v>0</v>
      </c>
      <c r="Q6" s="16"/>
      <c r="R6" s="17">
        <f>0.97-1.03</f>
        <v>-6.0000000000000053E-2</v>
      </c>
    </row>
    <row r="7" spans="1:18" x14ac:dyDescent="0.25">
      <c r="A7" s="15" t="s">
        <v>2</v>
      </c>
      <c r="B7" s="16">
        <v>6.11</v>
      </c>
      <c r="C7" s="16"/>
      <c r="D7" s="16">
        <v>5.01</v>
      </c>
      <c r="E7" s="16"/>
      <c r="F7" s="17">
        <v>1.1000000000000001</v>
      </c>
      <c r="G7" s="19"/>
      <c r="H7" s="16" t="s">
        <v>84</v>
      </c>
      <c r="I7" s="16"/>
      <c r="J7" s="16" t="s">
        <v>85</v>
      </c>
      <c r="K7" s="16"/>
      <c r="L7" s="17" t="s">
        <v>86</v>
      </c>
      <c r="M7" s="19"/>
      <c r="N7" s="16">
        <v>0.05</v>
      </c>
      <c r="O7" s="16"/>
      <c r="P7" s="16">
        <v>0.01</v>
      </c>
      <c r="Q7" s="16"/>
      <c r="R7" s="17">
        <f>1.1-1.06</f>
        <v>4.0000000000000036E-2</v>
      </c>
    </row>
    <row r="8" spans="1:18" x14ac:dyDescent="0.25">
      <c r="A8" s="15" t="s">
        <v>30</v>
      </c>
      <c r="B8" s="16">
        <v>5.73</v>
      </c>
      <c r="C8" s="16"/>
      <c r="D8" s="16">
        <v>5.08</v>
      </c>
      <c r="E8" s="16"/>
      <c r="F8" s="17">
        <v>0.65</v>
      </c>
      <c r="G8" s="19"/>
      <c r="H8" s="16" t="s">
        <v>96</v>
      </c>
      <c r="I8" s="16"/>
      <c r="J8" s="16" t="s">
        <v>97</v>
      </c>
      <c r="K8" s="16"/>
      <c r="L8" s="17" t="s">
        <v>98</v>
      </c>
      <c r="M8" s="19"/>
      <c r="N8" s="16">
        <v>0.08</v>
      </c>
      <c r="O8" s="16"/>
      <c r="P8" s="16">
        <v>0.09</v>
      </c>
      <c r="Q8" s="16"/>
      <c r="R8" s="17">
        <f>0.65-0.66</f>
        <v>-1.0000000000000009E-2</v>
      </c>
    </row>
    <row r="9" spans="1:18" x14ac:dyDescent="0.25">
      <c r="A9" s="15" t="s">
        <v>34</v>
      </c>
      <c r="B9" s="16">
        <v>6.4</v>
      </c>
      <c r="C9" s="16"/>
      <c r="D9" s="16">
        <v>5.44</v>
      </c>
      <c r="E9" s="16"/>
      <c r="F9" s="17">
        <v>0.96</v>
      </c>
      <c r="G9" s="19"/>
      <c r="H9" s="16" t="s">
        <v>99</v>
      </c>
      <c r="I9" s="16"/>
      <c r="J9" s="16" t="s">
        <v>100</v>
      </c>
      <c r="K9" s="16"/>
      <c r="L9" s="17" t="s">
        <v>101</v>
      </c>
      <c r="M9" s="19"/>
      <c r="N9" s="16">
        <v>-0.04</v>
      </c>
      <c r="O9" s="16"/>
      <c r="P9" s="16">
        <v>-0.03</v>
      </c>
      <c r="Q9" s="16"/>
      <c r="R9" s="17">
        <f>0.96-0.97</f>
        <v>-1.0000000000000009E-2</v>
      </c>
    </row>
    <row r="10" spans="1:18" x14ac:dyDescent="0.25">
      <c r="A10" s="15" t="s">
        <v>37</v>
      </c>
      <c r="B10" s="16">
        <v>6.18</v>
      </c>
      <c r="C10" s="16"/>
      <c r="D10" s="16">
        <v>5.42</v>
      </c>
      <c r="E10" s="16"/>
      <c r="F10" s="17">
        <v>0.76</v>
      </c>
      <c r="G10" s="19"/>
      <c r="H10" s="16" t="s">
        <v>102</v>
      </c>
      <c r="I10" s="16"/>
      <c r="J10" s="16" t="s">
        <v>103</v>
      </c>
      <c r="K10" s="16"/>
      <c r="L10" s="17" t="s">
        <v>80</v>
      </c>
      <c r="M10" s="19"/>
      <c r="N10" s="16">
        <v>-0.02</v>
      </c>
      <c r="O10" s="16"/>
      <c r="P10" s="16">
        <v>0.02</v>
      </c>
      <c r="Q10" s="16"/>
      <c r="R10" s="17">
        <f>0.76-0.8</f>
        <v>-4.0000000000000036E-2</v>
      </c>
    </row>
    <row r="11" spans="1:18" x14ac:dyDescent="0.25">
      <c r="A11" s="15" t="s">
        <v>42</v>
      </c>
      <c r="B11" s="16">
        <v>6.23</v>
      </c>
      <c r="C11" s="16"/>
      <c r="D11" s="16">
        <v>5.68</v>
      </c>
      <c r="E11" s="16"/>
      <c r="F11" s="17">
        <v>0.55000000000000004</v>
      </c>
      <c r="G11" s="19"/>
      <c r="H11" s="16" t="s">
        <v>104</v>
      </c>
      <c r="I11" s="16"/>
      <c r="J11" s="16" t="s">
        <v>105</v>
      </c>
      <c r="K11" s="16"/>
      <c r="L11" s="17" t="s">
        <v>106</v>
      </c>
      <c r="M11" s="19"/>
      <c r="N11" s="16">
        <v>0.04</v>
      </c>
      <c r="O11" s="16"/>
      <c r="P11" s="16">
        <v>-0.08</v>
      </c>
      <c r="Q11" s="16"/>
      <c r="R11" s="17">
        <f>0.55-0.43</f>
        <v>0.12000000000000005</v>
      </c>
    </row>
    <row r="12" spans="1:18" x14ac:dyDescent="0.25">
      <c r="A12" s="15" t="s">
        <v>46</v>
      </c>
      <c r="B12" s="16">
        <v>6.23</v>
      </c>
      <c r="C12" s="16"/>
      <c r="D12" s="16">
        <v>4.7300000000000004</v>
      </c>
      <c r="E12" s="16"/>
      <c r="F12" s="17">
        <v>1.5</v>
      </c>
      <c r="G12" s="19"/>
      <c r="H12" s="16" t="s">
        <v>107</v>
      </c>
      <c r="I12" s="16"/>
      <c r="J12" s="16" t="s">
        <v>108</v>
      </c>
      <c r="K12" s="16"/>
      <c r="L12" s="17" t="s">
        <v>109</v>
      </c>
      <c r="M12" s="19"/>
      <c r="N12" s="16">
        <v>-0.05</v>
      </c>
      <c r="O12" s="16"/>
      <c r="P12" s="16">
        <v>0</v>
      </c>
      <c r="Q12" s="16"/>
      <c r="R12" s="17">
        <f>1.5-1.55</f>
        <v>-5.0000000000000044E-2</v>
      </c>
    </row>
    <row r="13" spans="1:18" x14ac:dyDescent="0.25">
      <c r="A13" s="15" t="s">
        <v>48</v>
      </c>
      <c r="B13" s="16">
        <v>6.3</v>
      </c>
      <c r="C13" s="16"/>
      <c r="D13" s="16">
        <v>5.16</v>
      </c>
      <c r="E13" s="16"/>
      <c r="F13" s="17">
        <v>1.1399999999999999</v>
      </c>
      <c r="G13" s="19"/>
      <c r="H13" s="16" t="s">
        <v>110</v>
      </c>
      <c r="I13" s="16"/>
      <c r="J13" s="16" t="s">
        <v>111</v>
      </c>
      <c r="K13" s="16"/>
      <c r="L13" s="17" t="s">
        <v>112</v>
      </c>
      <c r="M13" s="19"/>
      <c r="N13" s="16">
        <v>-0.03</v>
      </c>
      <c r="O13" s="16"/>
      <c r="P13" s="16">
        <v>0.01</v>
      </c>
      <c r="Q13" s="16"/>
      <c r="R13" s="17">
        <f>1.14-1.18</f>
        <v>-4.0000000000000036E-2</v>
      </c>
    </row>
    <row r="14" spans="1:18" x14ac:dyDescent="0.25">
      <c r="A14" s="15" t="s">
        <v>49</v>
      </c>
      <c r="B14" s="16">
        <v>5.65</v>
      </c>
      <c r="C14" s="16"/>
      <c r="D14" s="16">
        <v>5.08</v>
      </c>
      <c r="E14" s="16"/>
      <c r="F14" s="17">
        <v>0.56999999999999995</v>
      </c>
      <c r="G14" s="19"/>
      <c r="H14" s="16" t="s">
        <v>96</v>
      </c>
      <c r="I14" s="16"/>
      <c r="J14" s="16" t="s">
        <v>113</v>
      </c>
      <c r="K14" s="16"/>
      <c r="L14" s="17" t="s">
        <v>114</v>
      </c>
      <c r="M14" s="19"/>
      <c r="N14" s="16">
        <v>0</v>
      </c>
      <c r="O14" s="16"/>
      <c r="P14" s="16">
        <v>0.05</v>
      </c>
      <c r="Q14" s="16"/>
      <c r="R14" s="17">
        <f>0.57-0.62</f>
        <v>-5.0000000000000044E-2</v>
      </c>
    </row>
    <row r="15" spans="1:18" x14ac:dyDescent="0.25">
      <c r="A15" s="15" t="s">
        <v>51</v>
      </c>
      <c r="B15" s="16">
        <v>5.95</v>
      </c>
      <c r="C15" s="16"/>
      <c r="D15" s="16">
        <v>5.52</v>
      </c>
      <c r="E15" s="16"/>
      <c r="F15" s="17">
        <v>0.43</v>
      </c>
      <c r="G15" s="19"/>
      <c r="H15" s="16" t="s">
        <v>115</v>
      </c>
      <c r="I15" s="16"/>
      <c r="J15" s="16" t="s">
        <v>116</v>
      </c>
      <c r="K15" s="16"/>
      <c r="L15" s="17" t="s">
        <v>117</v>
      </c>
      <c r="M15" s="19"/>
      <c r="N15" s="16">
        <v>0.01</v>
      </c>
      <c r="O15" s="16"/>
      <c r="P15" s="16">
        <v>0.12</v>
      </c>
      <c r="Q15" s="16"/>
      <c r="R15" s="17">
        <f>0.43-0.54</f>
        <v>-0.11000000000000004</v>
      </c>
    </row>
    <row r="16" spans="1:18" x14ac:dyDescent="0.25">
      <c r="A16" s="15" t="s">
        <v>55</v>
      </c>
      <c r="B16" s="16">
        <v>6.56</v>
      </c>
      <c r="C16" s="16"/>
      <c r="D16" s="16">
        <v>5.2</v>
      </c>
      <c r="E16" s="16"/>
      <c r="F16" s="17">
        <v>1.36</v>
      </c>
      <c r="G16" s="19"/>
      <c r="H16" s="16" t="s">
        <v>118</v>
      </c>
      <c r="I16" s="16"/>
      <c r="J16" s="16" t="s">
        <v>119</v>
      </c>
      <c r="K16" s="16"/>
      <c r="L16" s="17" t="s">
        <v>120</v>
      </c>
      <c r="M16" s="19"/>
      <c r="N16" s="16">
        <v>-0.05</v>
      </c>
      <c r="O16" s="16"/>
      <c r="P16" s="16">
        <v>-0.08</v>
      </c>
      <c r="Q16" s="16"/>
      <c r="R16" s="17">
        <f>1.36-1.33</f>
        <v>3.0000000000000027E-2</v>
      </c>
    </row>
    <row r="17" spans="1:18" x14ac:dyDescent="0.25">
      <c r="A17" s="15" t="s">
        <v>57</v>
      </c>
      <c r="B17" s="16">
        <v>6.15</v>
      </c>
      <c r="C17" s="16"/>
      <c r="D17" s="16">
        <v>5.73</v>
      </c>
      <c r="E17" s="16"/>
      <c r="F17" s="17">
        <v>0.42</v>
      </c>
      <c r="G17" s="19"/>
      <c r="H17" s="16" t="s">
        <v>121</v>
      </c>
      <c r="I17" s="16"/>
      <c r="J17" s="16" t="s">
        <v>122</v>
      </c>
      <c r="K17" s="16"/>
      <c r="L17" s="17" t="s">
        <v>123</v>
      </c>
      <c r="M17" s="19"/>
      <c r="N17" s="16">
        <v>0.01</v>
      </c>
      <c r="O17" s="16"/>
      <c r="P17" s="16">
        <v>7.0000000000000007E-2</v>
      </c>
      <c r="Q17" s="16"/>
      <c r="R17" s="17">
        <f>0.42-0.48</f>
        <v>-0.06</v>
      </c>
    </row>
    <row r="18" spans="1:18" x14ac:dyDescent="0.25">
      <c r="A18" s="15" t="s">
        <v>6</v>
      </c>
      <c r="B18" s="16">
        <v>6.57</v>
      </c>
      <c r="C18" s="16"/>
      <c r="D18" s="16">
        <v>5.58</v>
      </c>
      <c r="E18" s="16"/>
      <c r="F18" s="17">
        <v>0.99</v>
      </c>
      <c r="G18" s="19"/>
      <c r="H18" s="16" t="s">
        <v>87</v>
      </c>
      <c r="I18" s="16"/>
      <c r="J18" s="16" t="s">
        <v>88</v>
      </c>
      <c r="K18" s="16"/>
      <c r="L18" s="17" t="s">
        <v>89</v>
      </c>
      <c r="M18" s="19"/>
      <c r="N18" s="16">
        <v>0</v>
      </c>
      <c r="O18" s="16"/>
      <c r="P18" s="16">
        <v>-0.11</v>
      </c>
      <c r="Q18" s="16"/>
      <c r="R18" s="17">
        <f>0.99-0.88</f>
        <v>0.10999999999999999</v>
      </c>
    </row>
    <row r="19" spans="1:18" x14ac:dyDescent="0.25">
      <c r="A19" s="15" t="s">
        <v>61</v>
      </c>
      <c r="B19" s="16">
        <v>6.11</v>
      </c>
      <c r="C19" s="16"/>
      <c r="D19" s="16">
        <v>4.79</v>
      </c>
      <c r="E19" s="16"/>
      <c r="F19" s="17">
        <v>1.32</v>
      </c>
      <c r="G19" s="19"/>
      <c r="H19" s="16" t="s">
        <v>124</v>
      </c>
      <c r="I19" s="16"/>
      <c r="J19" s="16" t="s">
        <v>125</v>
      </c>
      <c r="K19" s="16"/>
      <c r="L19" s="17" t="s">
        <v>126</v>
      </c>
      <c r="M19" s="19"/>
      <c r="N19" s="16">
        <v>0.01</v>
      </c>
      <c r="O19" s="16"/>
      <c r="P19" s="16">
        <v>0.11</v>
      </c>
      <c r="Q19" s="16"/>
      <c r="R19" s="17">
        <f>1.32-1.42</f>
        <v>-9.9999999999999867E-2</v>
      </c>
    </row>
    <row r="20" spans="1:18" x14ac:dyDescent="0.25">
      <c r="A20" s="27" t="s">
        <v>287</v>
      </c>
      <c r="B20" s="29">
        <v>6.15</v>
      </c>
      <c r="C20" s="29"/>
      <c r="D20" s="29">
        <v>5.24</v>
      </c>
      <c r="E20" s="30"/>
      <c r="F20" s="17">
        <v>0.91</v>
      </c>
      <c r="G20" s="19"/>
      <c r="H20" s="29" t="s">
        <v>75</v>
      </c>
      <c r="I20" s="29"/>
      <c r="J20" s="29" t="s">
        <v>76</v>
      </c>
      <c r="K20" s="16"/>
      <c r="L20" s="17" t="s">
        <v>77</v>
      </c>
      <c r="M20" s="19"/>
      <c r="N20" s="29">
        <v>0</v>
      </c>
      <c r="O20" s="29"/>
      <c r="P20" s="29">
        <v>0.01</v>
      </c>
      <c r="Q20" s="16"/>
      <c r="R20" s="17">
        <v>-0.01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20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20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20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8"/>
  <sheetViews>
    <sheetView zoomScaleNormal="100" workbookViewId="0">
      <selection activeCell="A37" sqref="A37"/>
    </sheetView>
  </sheetViews>
  <sheetFormatPr defaultRowHeight="15" x14ac:dyDescent="0.25"/>
  <cols>
    <col min="1" max="1" width="82.28515625" style="3" customWidth="1"/>
    <col min="2" max="2" width="15.140625" style="4" customWidth="1"/>
    <col min="3" max="3" width="1.140625" style="4" customWidth="1"/>
    <col min="4" max="4" width="12.7109375" style="4" customWidth="1"/>
    <col min="5" max="5" width="1.140625" style="4" customWidth="1"/>
    <col min="6" max="6" width="9.140625" style="4"/>
    <col min="7" max="7" width="0.85546875" style="3" customWidth="1"/>
    <col min="8" max="8" width="12.7109375" style="3" customWidth="1"/>
    <col min="9" max="9" width="1.140625" style="3" customWidth="1"/>
    <col min="10" max="10" width="12.85546875" style="3" customWidth="1"/>
    <col min="11" max="11" width="0.85546875" style="3" customWidth="1"/>
    <col min="12" max="12" width="9.140625" style="3"/>
    <col min="13" max="13" width="0.5703125" style="3" customWidth="1"/>
    <col min="14" max="14" width="12.7109375" style="3" customWidth="1"/>
    <col min="15" max="15" width="1.140625" style="3" customWidth="1"/>
    <col min="16" max="16" width="13.28515625" style="3" customWidth="1"/>
    <col min="17" max="17" width="1.140625" style="3" customWidth="1"/>
    <col min="18" max="16384" width="9.140625" style="3"/>
  </cols>
  <sheetData>
    <row r="1" spans="1:18" ht="15.75" x14ac:dyDescent="0.25">
      <c r="A1" s="33" t="s">
        <v>134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134</v>
      </c>
      <c r="B3" s="18">
        <v>5.66</v>
      </c>
      <c r="C3" s="18"/>
      <c r="D3" s="18">
        <v>5.17</v>
      </c>
      <c r="E3" s="2"/>
      <c r="F3" s="10">
        <v>0.49</v>
      </c>
      <c r="G3" s="19"/>
      <c r="H3" s="18" t="s">
        <v>96</v>
      </c>
      <c r="I3" s="18"/>
      <c r="J3" s="18" t="s">
        <v>135</v>
      </c>
      <c r="K3" s="8"/>
      <c r="L3" s="10" t="s">
        <v>136</v>
      </c>
      <c r="M3" s="19"/>
      <c r="N3" s="18">
        <v>0.01</v>
      </c>
      <c r="O3" s="18"/>
      <c r="P3" s="18">
        <v>7.0000000000000007E-2</v>
      </c>
      <c r="Q3" s="8"/>
      <c r="R3" s="10">
        <f>0.49-0.55</f>
        <v>-6.0000000000000053E-2</v>
      </c>
    </row>
    <row r="4" spans="1:18" x14ac:dyDescent="0.25">
      <c r="A4" s="12" t="s">
        <v>8</v>
      </c>
      <c r="B4" s="13">
        <v>4.7</v>
      </c>
      <c r="C4" s="13"/>
      <c r="D4" s="13">
        <v>5.2</v>
      </c>
      <c r="E4" s="13"/>
      <c r="F4" s="14">
        <v>-0.5</v>
      </c>
      <c r="G4" s="19"/>
      <c r="H4" s="13" t="s">
        <v>137</v>
      </c>
      <c r="I4" s="13"/>
      <c r="J4" s="13" t="s">
        <v>138</v>
      </c>
      <c r="K4" s="13"/>
      <c r="L4" s="14" t="s">
        <v>139</v>
      </c>
      <c r="M4" s="19"/>
      <c r="N4" s="13">
        <f>4.7-4.67</f>
        <v>3.0000000000000249E-2</v>
      </c>
      <c r="O4" s="13"/>
      <c r="P4" s="13">
        <f>5.2-5.16</f>
        <v>4.0000000000000036E-2</v>
      </c>
      <c r="Q4" s="13"/>
      <c r="R4" s="14">
        <v>-0.01</v>
      </c>
    </row>
    <row r="5" spans="1:18" x14ac:dyDescent="0.25">
      <c r="A5" s="15" t="s">
        <v>65</v>
      </c>
      <c r="B5" s="16">
        <v>5.91</v>
      </c>
      <c r="C5" s="16"/>
      <c r="D5" s="16">
        <v>5.15</v>
      </c>
      <c r="E5" s="16"/>
      <c r="F5" s="17">
        <v>0.76</v>
      </c>
      <c r="G5" s="19"/>
      <c r="H5" s="16" t="s">
        <v>140</v>
      </c>
      <c r="I5" s="16"/>
      <c r="J5" s="16" t="s">
        <v>141</v>
      </c>
      <c r="K5" s="16"/>
      <c r="L5" s="17" t="s">
        <v>142</v>
      </c>
      <c r="M5" s="19"/>
      <c r="N5" s="16">
        <f>5.91-5.88</f>
        <v>3.0000000000000249E-2</v>
      </c>
      <c r="O5" s="16"/>
      <c r="P5" s="16">
        <f>5.15-4.86</f>
        <v>0.29000000000000004</v>
      </c>
      <c r="Q5" s="16"/>
      <c r="R5" s="17">
        <f>0.76-1.02</f>
        <v>-0.26</v>
      </c>
    </row>
    <row r="6" spans="1:18" x14ac:dyDescent="0.25">
      <c r="A6" s="15" t="s">
        <v>66</v>
      </c>
      <c r="B6" s="16">
        <v>5.0199999999999996</v>
      </c>
      <c r="C6" s="16"/>
      <c r="D6" s="16">
        <v>4.5</v>
      </c>
      <c r="E6" s="16"/>
      <c r="F6" s="17">
        <v>0.52</v>
      </c>
      <c r="G6" s="19"/>
      <c r="H6" s="16" t="s">
        <v>143</v>
      </c>
      <c r="I6" s="16"/>
      <c r="J6" s="16" t="s">
        <v>144</v>
      </c>
      <c r="K6" s="16"/>
      <c r="L6" s="17" t="s">
        <v>145</v>
      </c>
      <c r="M6" s="19"/>
      <c r="N6" s="16">
        <f>5.02-5.02</f>
        <v>0</v>
      </c>
      <c r="O6" s="16"/>
      <c r="P6" s="16">
        <f>4.5-4.52</f>
        <v>-1.9999999999999574E-2</v>
      </c>
      <c r="Q6" s="16"/>
      <c r="R6" s="17">
        <f>0.52-0.5</f>
        <v>2.0000000000000018E-2</v>
      </c>
    </row>
    <row r="7" spans="1:18" x14ac:dyDescent="0.25">
      <c r="A7" s="15" t="s">
        <v>25</v>
      </c>
      <c r="B7" s="16">
        <v>5.75</v>
      </c>
      <c r="C7" s="16"/>
      <c r="D7" s="16">
        <v>5.14</v>
      </c>
      <c r="E7" s="16"/>
      <c r="F7" s="17">
        <v>0.61</v>
      </c>
      <c r="G7" s="19"/>
      <c r="H7" s="16" t="s">
        <v>146</v>
      </c>
      <c r="I7" s="16"/>
      <c r="J7" s="16" t="s">
        <v>147</v>
      </c>
      <c r="K7" s="16"/>
      <c r="L7" s="17" t="s">
        <v>92</v>
      </c>
      <c r="M7" s="19"/>
      <c r="N7" s="16">
        <f>5.75-5.66</f>
        <v>8.9999999999999858E-2</v>
      </c>
      <c r="O7" s="16"/>
      <c r="P7" s="16">
        <f>5.14-4.85</f>
        <v>0.29000000000000004</v>
      </c>
      <c r="Q7" s="16"/>
      <c r="R7" s="17">
        <f>0.61-0.81</f>
        <v>-0.20000000000000007</v>
      </c>
    </row>
    <row r="8" spans="1:18" x14ac:dyDescent="0.25">
      <c r="A8" s="15" t="s">
        <v>56</v>
      </c>
      <c r="B8" s="16">
        <v>5.43</v>
      </c>
      <c r="C8" s="16"/>
      <c r="D8" s="16">
        <v>5.56</v>
      </c>
      <c r="E8" s="16"/>
      <c r="F8" s="17">
        <v>-0.13</v>
      </c>
      <c r="G8" s="19"/>
      <c r="H8" s="16" t="s">
        <v>148</v>
      </c>
      <c r="I8" s="16"/>
      <c r="J8" s="16" t="s">
        <v>149</v>
      </c>
      <c r="K8" s="16"/>
      <c r="L8" s="17" t="s">
        <v>150</v>
      </c>
      <c r="M8" s="19"/>
      <c r="N8" s="16">
        <f>5.43-5.43</f>
        <v>0</v>
      </c>
      <c r="O8" s="16"/>
      <c r="P8" s="16">
        <f>5.56-5.57</f>
        <v>-1.0000000000000675E-2</v>
      </c>
      <c r="Q8" s="16"/>
      <c r="R8" s="17">
        <f>(-0.13)-(-0.14)</f>
        <v>1.0000000000000009E-2</v>
      </c>
    </row>
    <row r="9" spans="1:18" x14ac:dyDescent="0.25">
      <c r="A9" s="15" t="s">
        <v>31</v>
      </c>
      <c r="B9" s="16">
        <v>5.94</v>
      </c>
      <c r="C9" s="16"/>
      <c r="D9" s="16">
        <v>4.84</v>
      </c>
      <c r="E9" s="16"/>
      <c r="F9" s="17">
        <v>1.1000000000000001</v>
      </c>
      <c r="G9" s="19"/>
      <c r="H9" s="16" t="s">
        <v>151</v>
      </c>
      <c r="I9" s="16"/>
      <c r="J9" s="16" t="s">
        <v>152</v>
      </c>
      <c r="K9" s="16"/>
      <c r="L9" s="17" t="s">
        <v>129</v>
      </c>
      <c r="M9" s="19"/>
      <c r="N9" s="16">
        <f>5.94-5.91</f>
        <v>3.0000000000000249E-2</v>
      </c>
      <c r="O9" s="16"/>
      <c r="P9" s="16">
        <f>4.84-4.96</f>
        <v>-0.12000000000000011</v>
      </c>
      <c r="Q9" s="16"/>
      <c r="R9" s="17">
        <f>1.1-0.95</f>
        <v>0.15000000000000013</v>
      </c>
    </row>
    <row r="10" spans="1:18" x14ac:dyDescent="0.25">
      <c r="A10" s="15" t="s">
        <v>33</v>
      </c>
      <c r="B10" s="16">
        <v>5.8</v>
      </c>
      <c r="C10" s="16"/>
      <c r="D10" s="16">
        <v>5.32</v>
      </c>
      <c r="E10" s="16"/>
      <c r="F10" s="17">
        <v>0.48</v>
      </c>
      <c r="G10" s="19"/>
      <c r="H10" s="16" t="s">
        <v>153</v>
      </c>
      <c r="I10" s="16"/>
      <c r="J10" s="16" t="s">
        <v>154</v>
      </c>
      <c r="K10" s="16"/>
      <c r="L10" s="17" t="s">
        <v>155</v>
      </c>
      <c r="M10" s="19"/>
      <c r="N10" s="16">
        <f>5.8-5.78</f>
        <v>1.9999999999999574E-2</v>
      </c>
      <c r="O10" s="16"/>
      <c r="P10" s="16">
        <f>5.32-5.17</f>
        <v>0.15000000000000036</v>
      </c>
      <c r="Q10" s="16"/>
      <c r="R10" s="17">
        <f>0.48-0.61</f>
        <v>-0.13</v>
      </c>
    </row>
    <row r="11" spans="1:18" x14ac:dyDescent="0.25">
      <c r="A11" s="15" t="s">
        <v>35</v>
      </c>
      <c r="B11" s="16">
        <v>5.15</v>
      </c>
      <c r="C11" s="16"/>
      <c r="D11" s="16">
        <v>4.67</v>
      </c>
      <c r="E11" s="16"/>
      <c r="F11" s="17">
        <v>0.48</v>
      </c>
      <c r="G11" s="19"/>
      <c r="H11" s="16" t="s">
        <v>156</v>
      </c>
      <c r="I11" s="16"/>
      <c r="J11" s="16" t="s">
        <v>157</v>
      </c>
      <c r="K11" s="16"/>
      <c r="L11" s="17" t="s">
        <v>158</v>
      </c>
      <c r="M11" s="19"/>
      <c r="N11" s="16">
        <f>5.15-5.2</f>
        <v>-4.9999999999999822E-2</v>
      </c>
      <c r="O11" s="16"/>
      <c r="P11" s="16">
        <f>4.67-4.24</f>
        <v>0.42999999999999972</v>
      </c>
      <c r="Q11" s="16"/>
      <c r="R11" s="17">
        <f>0.48-0.96</f>
        <v>-0.48</v>
      </c>
    </row>
    <row r="12" spans="1:18" x14ac:dyDescent="0.25">
      <c r="A12" s="15" t="s">
        <v>38</v>
      </c>
      <c r="B12" s="16">
        <v>5.72</v>
      </c>
      <c r="C12" s="16"/>
      <c r="D12" s="16">
        <v>5.32</v>
      </c>
      <c r="E12" s="16"/>
      <c r="F12" s="17">
        <v>0.4</v>
      </c>
      <c r="G12" s="19"/>
      <c r="H12" s="16" t="s">
        <v>96</v>
      </c>
      <c r="I12" s="16"/>
      <c r="J12" s="16" t="s">
        <v>159</v>
      </c>
      <c r="K12" s="16"/>
      <c r="L12" s="17" t="s">
        <v>160</v>
      </c>
      <c r="M12" s="19"/>
      <c r="N12" s="16">
        <f>5.72-5.65</f>
        <v>6.9999999999999396E-2</v>
      </c>
      <c r="O12" s="16"/>
      <c r="P12" s="16">
        <f>5.32-5.23</f>
        <v>8.9999999999999858E-2</v>
      </c>
      <c r="Q12" s="16"/>
      <c r="R12" s="17">
        <f>0.4-0.42</f>
        <v>-1.9999999999999962E-2</v>
      </c>
    </row>
    <row r="13" spans="1:18" x14ac:dyDescent="0.25">
      <c r="A13" s="15" t="s">
        <v>67</v>
      </c>
      <c r="B13" s="16">
        <v>5.8</v>
      </c>
      <c r="C13" s="16"/>
      <c r="D13" s="16">
        <v>5.51</v>
      </c>
      <c r="E13" s="16"/>
      <c r="F13" s="17">
        <v>0.28999999999999998</v>
      </c>
      <c r="G13" s="19"/>
      <c r="H13" s="16" t="s">
        <v>161</v>
      </c>
      <c r="I13" s="16"/>
      <c r="J13" s="16" t="s">
        <v>162</v>
      </c>
      <c r="K13" s="16"/>
      <c r="L13" s="17" t="s">
        <v>163</v>
      </c>
      <c r="M13" s="19"/>
      <c r="N13" s="16">
        <f>5.8-5.8</f>
        <v>0</v>
      </c>
      <c r="O13" s="16"/>
      <c r="P13" s="16">
        <f>5.51-5.56</f>
        <v>-4.9999999999999822E-2</v>
      </c>
      <c r="Q13" s="16"/>
      <c r="R13" s="17">
        <f>0.29-0.24</f>
        <v>4.9999999999999989E-2</v>
      </c>
    </row>
    <row r="14" spans="1:18" x14ac:dyDescent="0.25">
      <c r="A14" s="15" t="s">
        <v>45</v>
      </c>
      <c r="B14" s="16">
        <v>5.45</v>
      </c>
      <c r="C14" s="16"/>
      <c r="D14" s="16">
        <v>5.12</v>
      </c>
      <c r="E14" s="16"/>
      <c r="F14" s="17">
        <v>0.33</v>
      </c>
      <c r="G14" s="19"/>
      <c r="H14" s="16" t="s">
        <v>164</v>
      </c>
      <c r="I14" s="16"/>
      <c r="J14" s="16" t="s">
        <v>165</v>
      </c>
      <c r="K14" s="16"/>
      <c r="L14" s="17" t="s">
        <v>166</v>
      </c>
      <c r="M14" s="19"/>
      <c r="N14" s="16">
        <f>5.45-5.52</f>
        <v>-6.9999999999999396E-2</v>
      </c>
      <c r="O14" s="16"/>
      <c r="P14" s="16">
        <f>5.12-5.06</f>
        <v>6.0000000000000497E-2</v>
      </c>
      <c r="Q14" s="16"/>
      <c r="R14" s="17">
        <f>0.33-0.46</f>
        <v>-0.13</v>
      </c>
    </row>
    <row r="15" spans="1:18" x14ac:dyDescent="0.25">
      <c r="A15" s="15" t="s">
        <v>52</v>
      </c>
      <c r="B15" s="16">
        <v>6.12</v>
      </c>
      <c r="C15" s="16"/>
      <c r="D15" s="16">
        <v>5.6</v>
      </c>
      <c r="E15" s="16"/>
      <c r="F15" s="17">
        <v>0.52</v>
      </c>
      <c r="G15" s="19"/>
      <c r="H15" s="16" t="s">
        <v>167</v>
      </c>
      <c r="I15" s="16"/>
      <c r="J15" s="16" t="s">
        <v>168</v>
      </c>
      <c r="K15" s="16"/>
      <c r="L15" s="17" t="s">
        <v>169</v>
      </c>
      <c r="M15" s="19"/>
      <c r="N15" s="16">
        <f>6.12-6.11</f>
        <v>9.9999999999997868E-3</v>
      </c>
      <c r="O15" s="16"/>
      <c r="P15" s="16">
        <f>5.6-5.52</f>
        <v>8.0000000000000071E-2</v>
      </c>
      <c r="Q15" s="16"/>
      <c r="R15" s="17">
        <f>0.52-0.59</f>
        <v>-6.9999999999999951E-2</v>
      </c>
    </row>
    <row r="16" spans="1:18" x14ac:dyDescent="0.25">
      <c r="A16" s="15" t="s">
        <v>53</v>
      </c>
      <c r="B16" s="16">
        <v>5.96</v>
      </c>
      <c r="C16" s="16"/>
      <c r="D16" s="16">
        <v>5.12</v>
      </c>
      <c r="E16" s="16"/>
      <c r="F16" s="17">
        <v>0.84</v>
      </c>
      <c r="G16" s="19"/>
      <c r="H16" s="16" t="s">
        <v>151</v>
      </c>
      <c r="I16" s="16"/>
      <c r="J16" s="16" t="s">
        <v>135</v>
      </c>
      <c r="K16" s="16"/>
      <c r="L16" s="17" t="s">
        <v>92</v>
      </c>
      <c r="M16" s="19"/>
      <c r="N16" s="16">
        <f>5.96-5.91</f>
        <v>4.9999999999999822E-2</v>
      </c>
      <c r="O16" s="16"/>
      <c r="P16" s="16">
        <f>5.12-5.1</f>
        <v>2.0000000000000462E-2</v>
      </c>
      <c r="Q16" s="16"/>
      <c r="R16" s="17">
        <f>0.84-0.81</f>
        <v>2.9999999999999916E-2</v>
      </c>
    </row>
    <row r="17" spans="1:18" x14ac:dyDescent="0.25">
      <c r="A17" s="15" t="s">
        <v>57</v>
      </c>
      <c r="B17" s="16">
        <v>6.15</v>
      </c>
      <c r="C17" s="16"/>
      <c r="D17" s="16">
        <v>5.73</v>
      </c>
      <c r="E17" s="16"/>
      <c r="F17" s="17">
        <v>0.42</v>
      </c>
      <c r="G17" s="19"/>
      <c r="H17" s="16" t="s">
        <v>121</v>
      </c>
      <c r="I17" s="16"/>
      <c r="J17" s="16" t="s">
        <v>170</v>
      </c>
      <c r="K17" s="16"/>
      <c r="L17" s="17" t="s">
        <v>123</v>
      </c>
      <c r="M17" s="19"/>
      <c r="N17" s="16">
        <f>6.15-6.14</f>
        <v>1.0000000000000675E-2</v>
      </c>
      <c r="O17" s="16"/>
      <c r="P17" s="16">
        <f>5.73-5.66</f>
        <v>7.0000000000000284E-2</v>
      </c>
      <c r="Q17" s="16"/>
      <c r="R17" s="17">
        <f>0.42-0.48</f>
        <v>-0.06</v>
      </c>
    </row>
    <row r="18" spans="1:18" x14ac:dyDescent="0.25">
      <c r="A18" s="15" t="s">
        <v>62</v>
      </c>
      <c r="B18" s="16">
        <v>6.03</v>
      </c>
      <c r="C18" s="16"/>
      <c r="D18" s="16">
        <v>4.72</v>
      </c>
      <c r="E18" s="16"/>
      <c r="F18" s="17">
        <v>1.31</v>
      </c>
      <c r="G18" s="19"/>
      <c r="H18" s="16" t="s">
        <v>171</v>
      </c>
      <c r="I18" s="16"/>
      <c r="J18" s="16" t="s">
        <v>172</v>
      </c>
      <c r="K18" s="16"/>
      <c r="L18" s="17" t="s">
        <v>173</v>
      </c>
      <c r="M18" s="19"/>
      <c r="N18" s="16">
        <f>6.03-6.07</f>
        <v>-4.0000000000000036E-2</v>
      </c>
      <c r="O18" s="16"/>
      <c r="P18" s="16">
        <f>4.72-4.78</f>
        <v>-6.0000000000000497E-2</v>
      </c>
      <c r="Q18" s="16"/>
      <c r="R18" s="17">
        <f>1.31-1.29</f>
        <v>2.0000000000000018E-2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18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18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18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"/>
  <sheetViews>
    <sheetView workbookViewId="0">
      <selection activeCell="B36" sqref="B36"/>
    </sheetView>
  </sheetViews>
  <sheetFormatPr defaultRowHeight="15" x14ac:dyDescent="0.25"/>
  <cols>
    <col min="1" max="1" width="82.28515625" style="6" customWidth="1"/>
    <col min="2" max="2" width="19.85546875" style="6" customWidth="1"/>
    <col min="3" max="3" width="1" style="6" customWidth="1"/>
    <col min="4" max="4" width="17.7109375" style="6" customWidth="1"/>
    <col min="5" max="5" width="0.5703125" style="6" customWidth="1"/>
    <col min="6" max="6" width="9.140625" style="6"/>
    <col min="7" max="7" width="0.5703125" style="6" customWidth="1"/>
    <col min="8" max="8" width="17.42578125" style="6" customWidth="1"/>
    <col min="9" max="9" width="1" style="6" customWidth="1"/>
    <col min="10" max="10" width="19.28515625" style="6" customWidth="1"/>
    <col min="11" max="11" width="0.85546875" style="6" customWidth="1"/>
    <col min="12" max="12" width="9.140625" style="6"/>
    <col min="13" max="13" width="1.140625" style="6" customWidth="1"/>
    <col min="14" max="14" width="17.7109375" style="6" customWidth="1"/>
    <col min="15" max="15" width="0.7109375" style="6" customWidth="1"/>
    <col min="16" max="16" width="17.140625" style="6" customWidth="1"/>
    <col min="17" max="17" width="0.85546875" style="6" customWidth="1"/>
    <col min="18" max="16384" width="9.140625" style="6"/>
  </cols>
  <sheetData>
    <row r="1" spans="1:18" ht="15.75" x14ac:dyDescent="0.25">
      <c r="A1" s="33" t="s">
        <v>225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19.5" customHeight="1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225</v>
      </c>
      <c r="B3" s="18">
        <v>6.06</v>
      </c>
      <c r="C3" s="18"/>
      <c r="D3" s="18">
        <v>5.68</v>
      </c>
      <c r="E3" s="2"/>
      <c r="F3" s="10">
        <f>0.38</f>
        <v>0.38</v>
      </c>
      <c r="G3" s="19"/>
      <c r="H3" s="18" t="s">
        <v>124</v>
      </c>
      <c r="I3" s="18"/>
      <c r="J3" s="18" t="s">
        <v>226</v>
      </c>
      <c r="K3" s="8"/>
      <c r="L3" s="10" t="s">
        <v>227</v>
      </c>
      <c r="M3" s="19"/>
      <c r="N3" s="18">
        <v>-0.04</v>
      </c>
      <c r="O3" s="18"/>
      <c r="P3" s="18">
        <f>0.03</f>
        <v>0.03</v>
      </c>
      <c r="Q3" s="8"/>
      <c r="R3" s="10">
        <v>-7.0000000000000007E-2</v>
      </c>
    </row>
    <row r="4" spans="1:18" x14ac:dyDescent="0.25">
      <c r="A4" s="12" t="s">
        <v>11</v>
      </c>
      <c r="B4" s="13">
        <v>5.8</v>
      </c>
      <c r="C4" s="13"/>
      <c r="D4" s="13">
        <v>5.93</v>
      </c>
      <c r="E4" s="13"/>
      <c r="F4" s="14">
        <v>-0.13</v>
      </c>
      <c r="G4" s="19"/>
      <c r="H4" s="13" t="s">
        <v>228</v>
      </c>
      <c r="I4" s="13"/>
      <c r="J4" s="13" t="s">
        <v>229</v>
      </c>
      <c r="K4" s="13"/>
      <c r="L4" s="14" t="s">
        <v>230</v>
      </c>
      <c r="M4" s="19"/>
      <c r="N4" s="13">
        <f>5.8-5.76</f>
        <v>4.0000000000000036E-2</v>
      </c>
      <c r="O4" s="13"/>
      <c r="P4" s="13">
        <f>5.93-5.86</f>
        <v>6.9999999999999396E-2</v>
      </c>
      <c r="Q4" s="13"/>
      <c r="R4" s="14">
        <f>(-0.13)-(-0.1)</f>
        <v>-0.03</v>
      </c>
    </row>
    <row r="5" spans="1:18" x14ac:dyDescent="0.25">
      <c r="A5" s="15" t="s">
        <v>16</v>
      </c>
      <c r="B5" s="16">
        <v>6.19</v>
      </c>
      <c r="C5" s="16"/>
      <c r="D5" s="16">
        <v>5.94</v>
      </c>
      <c r="E5" s="16"/>
      <c r="F5" s="17">
        <v>0.25</v>
      </c>
      <c r="G5" s="19"/>
      <c r="H5" s="16" t="s">
        <v>231</v>
      </c>
      <c r="I5" s="16"/>
      <c r="J5" s="16" t="s">
        <v>232</v>
      </c>
      <c r="K5" s="16"/>
      <c r="L5" s="17" t="s">
        <v>233</v>
      </c>
      <c r="M5" s="19"/>
      <c r="N5" s="16">
        <f>6.19-6.23</f>
        <v>-4.0000000000000036E-2</v>
      </c>
      <c r="O5" s="16"/>
      <c r="P5" s="16">
        <f>5.94-5.88</f>
        <v>6.0000000000000497E-2</v>
      </c>
      <c r="Q5" s="16"/>
      <c r="R5" s="17">
        <v>0.1</v>
      </c>
    </row>
    <row r="6" spans="1:18" x14ac:dyDescent="0.25">
      <c r="A6" s="15" t="s">
        <v>21</v>
      </c>
      <c r="B6" s="16">
        <v>6.27</v>
      </c>
      <c r="C6" s="16"/>
      <c r="D6" s="16">
        <v>5.95</v>
      </c>
      <c r="E6" s="16"/>
      <c r="F6" s="17">
        <v>0.32</v>
      </c>
      <c r="G6" s="19"/>
      <c r="H6" s="16" t="s">
        <v>234</v>
      </c>
      <c r="I6" s="16"/>
      <c r="J6" s="16" t="s">
        <v>232</v>
      </c>
      <c r="K6" s="16"/>
      <c r="L6" s="17" t="s">
        <v>145</v>
      </c>
      <c r="M6" s="19"/>
      <c r="N6" s="16">
        <f>6.27-6.38</f>
        <v>-0.11000000000000032</v>
      </c>
      <c r="O6" s="16"/>
      <c r="P6" s="16">
        <f>5.95-5.88</f>
        <v>7.0000000000000284E-2</v>
      </c>
      <c r="Q6" s="16"/>
      <c r="R6" s="17">
        <v>-0.18</v>
      </c>
    </row>
    <row r="7" spans="1:18" x14ac:dyDescent="0.25">
      <c r="A7" s="15" t="s">
        <v>26</v>
      </c>
      <c r="B7" s="16">
        <v>5.92</v>
      </c>
      <c r="C7" s="16"/>
      <c r="D7" s="16">
        <v>5.67</v>
      </c>
      <c r="E7" s="16"/>
      <c r="F7" s="17">
        <v>0.25</v>
      </c>
      <c r="G7" s="19"/>
      <c r="H7" s="16" t="s">
        <v>235</v>
      </c>
      <c r="I7" s="16"/>
      <c r="J7" s="16" t="s">
        <v>236</v>
      </c>
      <c r="K7" s="16"/>
      <c r="L7" s="17" t="s">
        <v>163</v>
      </c>
      <c r="M7" s="19"/>
      <c r="N7" s="16">
        <f>5.92-5.95</f>
        <v>-3.0000000000000249E-2</v>
      </c>
      <c r="O7" s="16"/>
      <c r="P7" s="16">
        <f>5.67-5.71</f>
        <v>-4.0000000000000036E-2</v>
      </c>
      <c r="Q7" s="16"/>
      <c r="R7" s="17">
        <f>0.25-0.24</f>
        <v>1.0000000000000009E-2</v>
      </c>
    </row>
    <row r="8" spans="1:18" x14ac:dyDescent="0.25">
      <c r="A8" s="15" t="s">
        <v>36</v>
      </c>
      <c r="B8" s="16">
        <v>6.14</v>
      </c>
      <c r="C8" s="16"/>
      <c r="D8" s="16">
        <v>5.36</v>
      </c>
      <c r="E8" s="16"/>
      <c r="F8" s="17">
        <v>0.78</v>
      </c>
      <c r="G8" s="19"/>
      <c r="H8" s="16" t="s">
        <v>237</v>
      </c>
      <c r="I8" s="16"/>
      <c r="J8" s="16" t="s">
        <v>238</v>
      </c>
      <c r="K8" s="16"/>
      <c r="L8" s="17" t="s">
        <v>239</v>
      </c>
      <c r="M8" s="19"/>
      <c r="N8" s="16">
        <f>6.14-6.22</f>
        <v>-8.0000000000000071E-2</v>
      </c>
      <c r="O8" s="16"/>
      <c r="P8" s="16">
        <v>0.04</v>
      </c>
      <c r="Q8" s="16"/>
      <c r="R8" s="17">
        <f>0.78-0.9</f>
        <v>-0.12</v>
      </c>
    </row>
    <row r="9" spans="1:18" x14ac:dyDescent="0.25">
      <c r="A9" s="15" t="s">
        <v>40</v>
      </c>
      <c r="B9" s="16">
        <v>6.21</v>
      </c>
      <c r="C9" s="16"/>
      <c r="D9" s="16">
        <v>5.0199999999999996</v>
      </c>
      <c r="E9" s="16"/>
      <c r="F9" s="17">
        <v>1.19</v>
      </c>
      <c r="G9" s="19"/>
      <c r="H9" s="16" t="s">
        <v>240</v>
      </c>
      <c r="I9" s="16"/>
      <c r="J9" s="16" t="s">
        <v>241</v>
      </c>
      <c r="K9" s="16"/>
      <c r="L9" s="17" t="s">
        <v>242</v>
      </c>
      <c r="M9" s="19"/>
      <c r="N9" s="16">
        <f>6.21-6.24</f>
        <v>-3.0000000000000249E-2</v>
      </c>
      <c r="O9" s="16"/>
      <c r="P9" s="16">
        <f>5.02-4.98</f>
        <v>3.9999999999999147E-2</v>
      </c>
      <c r="Q9" s="16"/>
      <c r="R9" s="17">
        <f>1.19-1.26</f>
        <v>-7.0000000000000062E-2</v>
      </c>
    </row>
    <row r="10" spans="1:18" x14ac:dyDescent="0.25">
      <c r="A10" s="15" t="s">
        <v>43</v>
      </c>
      <c r="B10" s="16">
        <v>5.89</v>
      </c>
      <c r="C10" s="16"/>
      <c r="D10" s="16">
        <v>5.8</v>
      </c>
      <c r="E10" s="16"/>
      <c r="F10" s="17">
        <v>0.09</v>
      </c>
      <c r="G10" s="19"/>
      <c r="H10" s="16" t="s">
        <v>243</v>
      </c>
      <c r="I10" s="16"/>
      <c r="J10" s="16" t="s">
        <v>244</v>
      </c>
      <c r="K10" s="16"/>
      <c r="L10" s="17" t="s">
        <v>245</v>
      </c>
      <c r="M10" s="19"/>
      <c r="N10" s="16">
        <f>5.89-5.93</f>
        <v>-4.0000000000000036E-2</v>
      </c>
      <c r="O10" s="16"/>
      <c r="P10" s="16">
        <f>5.8-5.81</f>
        <v>-9.9999999999997868E-3</v>
      </c>
      <c r="Q10" s="16"/>
      <c r="R10" s="17">
        <f>0.09-0.12</f>
        <v>-0.03</v>
      </c>
    </row>
  </sheetData>
  <mergeCells count="4">
    <mergeCell ref="B1:F1"/>
    <mergeCell ref="H1:L1"/>
    <mergeCell ref="N1:R1"/>
    <mergeCell ref="A1:A2"/>
  </mergeCells>
  <conditionalFormatting sqref="R3">
    <cfRule type="iconSet" priority="8">
      <iconSet iconSet="3Arrows" reverse="1">
        <cfvo type="percent" val="0"/>
        <cfvo type="num" val="0"/>
        <cfvo type="num" val="0"/>
      </iconSet>
    </cfRule>
  </conditionalFormatting>
  <conditionalFormatting sqref="R4:R9">
    <cfRule type="iconSet" priority="7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6">
      <iconSet iconSet="3Arrows">
        <cfvo type="percent" val="0"/>
        <cfvo type="num" val="0"/>
        <cfvo type="num" val="9.9999999999999995E-8"/>
      </iconSet>
    </cfRule>
  </conditionalFormatting>
  <conditionalFormatting sqref="N4:N9">
    <cfRule type="iconSet" priority="5">
      <iconSet iconSet="3Arrows">
        <cfvo type="percent" val="0"/>
        <cfvo type="num" val="0"/>
        <cfvo type="num" val="9.9999999999999995E-8"/>
      </iconSet>
    </cfRule>
  </conditionalFormatting>
  <conditionalFormatting sqref="P3:P9">
    <cfRule type="iconSet" priority="4">
      <iconSet iconSet="3Arrows">
        <cfvo type="percent" val="0"/>
        <cfvo type="num" val="0"/>
        <cfvo type="num" val="9.9999999999999995E-8"/>
      </iconSet>
    </cfRule>
  </conditionalFormatting>
  <conditionalFormatting sqref="R10">
    <cfRule type="iconSet" priority="3">
      <iconSet iconSet="3Arrows" reverse="1">
        <cfvo type="percent" val="0"/>
        <cfvo type="num" val="0"/>
        <cfvo type="num" val="0"/>
      </iconSet>
    </cfRule>
  </conditionalFormatting>
  <conditionalFormatting sqref="N10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10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9"/>
  <sheetViews>
    <sheetView workbookViewId="0">
      <selection activeCell="R34" sqref="R34"/>
    </sheetView>
  </sheetViews>
  <sheetFormatPr defaultRowHeight="15" x14ac:dyDescent="0.25"/>
  <cols>
    <col min="1" max="1" width="82.28515625" customWidth="1"/>
    <col min="2" max="2" width="15.28515625" customWidth="1"/>
    <col min="3" max="3" width="1.140625" customWidth="1"/>
    <col min="4" max="4" width="12.28515625" customWidth="1"/>
    <col min="5" max="5" width="1" customWidth="1"/>
    <col min="7" max="7" width="1" customWidth="1"/>
    <col min="9" max="9" width="1.140625" customWidth="1"/>
    <col min="11" max="11" width="0.85546875" customWidth="1"/>
    <col min="13" max="13" width="0.85546875" customWidth="1"/>
    <col min="15" max="15" width="0.85546875" customWidth="1"/>
    <col min="17" max="17" width="0.85546875" customWidth="1"/>
  </cols>
  <sheetData>
    <row r="1" spans="1:18" ht="30.75" customHeight="1" x14ac:dyDescent="0.25">
      <c r="A1" s="33" t="s">
        <v>278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0.75" customHeight="1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278</v>
      </c>
      <c r="B3" s="18">
        <v>6.21</v>
      </c>
      <c r="C3" s="18"/>
      <c r="D3" s="18">
        <v>5.19</v>
      </c>
      <c r="E3" s="2"/>
      <c r="F3" s="10">
        <v>1.02</v>
      </c>
      <c r="G3" s="19"/>
      <c r="H3" s="18" t="s">
        <v>102</v>
      </c>
      <c r="I3" s="18"/>
      <c r="J3" s="18" t="s">
        <v>135</v>
      </c>
      <c r="K3" s="8"/>
      <c r="L3" s="10" t="s">
        <v>279</v>
      </c>
      <c r="M3" s="19"/>
      <c r="N3" s="18">
        <v>0.01</v>
      </c>
      <c r="O3" s="18"/>
      <c r="P3" s="18">
        <v>0.09</v>
      </c>
      <c r="Q3" s="8"/>
      <c r="R3" s="10">
        <v>-0.08</v>
      </c>
    </row>
    <row r="4" spans="1:18" x14ac:dyDescent="0.25">
      <c r="A4" s="12" t="s">
        <v>2</v>
      </c>
      <c r="B4" s="13">
        <v>6.11</v>
      </c>
      <c r="C4" s="13"/>
      <c r="D4" s="13">
        <v>5.01</v>
      </c>
      <c r="E4" s="13"/>
      <c r="F4" s="14">
        <v>1.1000000000000001</v>
      </c>
      <c r="G4" s="19"/>
      <c r="H4" s="13" t="s">
        <v>84</v>
      </c>
      <c r="I4" s="13"/>
      <c r="J4" s="13" t="s">
        <v>85</v>
      </c>
      <c r="K4" s="13"/>
      <c r="L4" s="14" t="s">
        <v>86</v>
      </c>
      <c r="M4" s="19"/>
      <c r="N4" s="13">
        <f>6.11-6.06</f>
        <v>5.0000000000000711E-2</v>
      </c>
      <c r="O4" s="13"/>
      <c r="P4" s="13">
        <f>5.01-5</f>
        <v>9.9999999999997868E-3</v>
      </c>
      <c r="Q4" s="13"/>
      <c r="R4" s="14">
        <f>1.1-1.06</f>
        <v>4.0000000000000036E-2</v>
      </c>
    </row>
    <row r="5" spans="1:18" x14ac:dyDescent="0.25">
      <c r="A5" s="15" t="s">
        <v>12</v>
      </c>
      <c r="B5" s="16">
        <v>6.37</v>
      </c>
      <c r="C5" s="16"/>
      <c r="D5" s="16">
        <v>5.26</v>
      </c>
      <c r="E5" s="16"/>
      <c r="F5" s="17">
        <v>1.1100000000000001</v>
      </c>
      <c r="G5" s="19"/>
      <c r="H5" s="16" t="s">
        <v>215</v>
      </c>
      <c r="I5" s="16"/>
      <c r="J5" s="16" t="s">
        <v>252</v>
      </c>
      <c r="K5" s="16"/>
      <c r="L5" s="17" t="s">
        <v>242</v>
      </c>
      <c r="M5" s="19"/>
      <c r="N5" s="16">
        <f>6.37-6.32</f>
        <v>4.9999999999999822E-2</v>
      </c>
      <c r="O5" s="16"/>
      <c r="P5" s="16">
        <f>5.26-5.06</f>
        <v>0.20000000000000018</v>
      </c>
      <c r="Q5" s="16"/>
      <c r="R5" s="17">
        <f>1.11-1.26</f>
        <v>-0.14999999999999991</v>
      </c>
    </row>
    <row r="6" spans="1:18" x14ac:dyDescent="0.25">
      <c r="A6" s="15" t="s">
        <v>19</v>
      </c>
      <c r="B6" s="16">
        <v>6.05</v>
      </c>
      <c r="C6" s="16"/>
      <c r="D6" s="16">
        <v>5.2</v>
      </c>
      <c r="E6" s="16"/>
      <c r="F6" s="17">
        <v>0.85</v>
      </c>
      <c r="G6" s="19"/>
      <c r="H6" s="16" t="s">
        <v>124</v>
      </c>
      <c r="I6" s="16"/>
      <c r="J6" s="16" t="s">
        <v>85</v>
      </c>
      <c r="K6" s="16"/>
      <c r="L6" s="17" t="s">
        <v>279</v>
      </c>
      <c r="M6" s="19"/>
      <c r="N6" s="16">
        <f>6.05-6.1</f>
        <v>-4.9999999999999822E-2</v>
      </c>
      <c r="O6" s="16"/>
      <c r="P6" s="16">
        <f>5.2-5</f>
        <v>0.20000000000000018</v>
      </c>
      <c r="Q6" s="16"/>
      <c r="R6" s="17">
        <f>0.85-1.1</f>
        <v>-0.25000000000000011</v>
      </c>
    </row>
    <row r="7" spans="1:18" x14ac:dyDescent="0.25">
      <c r="A7" s="15" t="s">
        <v>20</v>
      </c>
      <c r="B7" s="16">
        <v>6.44</v>
      </c>
      <c r="C7" s="16"/>
      <c r="D7" s="16">
        <v>5.34</v>
      </c>
      <c r="E7" s="16"/>
      <c r="F7" s="17">
        <v>1.1000000000000001</v>
      </c>
      <c r="G7" s="19"/>
      <c r="H7" s="16" t="s">
        <v>184</v>
      </c>
      <c r="I7" s="16"/>
      <c r="J7" s="16" t="s">
        <v>179</v>
      </c>
      <c r="K7" s="16"/>
      <c r="L7" s="17" t="s">
        <v>186</v>
      </c>
      <c r="M7" s="19"/>
      <c r="N7" s="16">
        <f>6.44-6.43</f>
        <v>1.0000000000000675E-2</v>
      </c>
      <c r="O7" s="16"/>
      <c r="P7" s="16">
        <f>5.34-5.38</f>
        <v>-4.0000000000000036E-2</v>
      </c>
      <c r="Q7" s="16"/>
      <c r="R7" s="17">
        <f>1.1-1.05</f>
        <v>5.0000000000000044E-2</v>
      </c>
    </row>
    <row r="8" spans="1:18" x14ac:dyDescent="0.25">
      <c r="A8" s="15" t="s">
        <v>25</v>
      </c>
      <c r="B8" s="16">
        <v>5.75</v>
      </c>
      <c r="C8" s="16"/>
      <c r="D8" s="16">
        <v>5.14</v>
      </c>
      <c r="E8" s="16"/>
      <c r="F8" s="17">
        <v>0.61</v>
      </c>
      <c r="G8" s="19"/>
      <c r="H8" s="16" t="s">
        <v>146</v>
      </c>
      <c r="I8" s="16"/>
      <c r="J8" s="16" t="s">
        <v>280</v>
      </c>
      <c r="K8" s="16"/>
      <c r="L8" s="17" t="s">
        <v>92</v>
      </c>
      <c r="M8" s="19"/>
      <c r="N8" s="16">
        <v>0.09</v>
      </c>
      <c r="O8" s="16"/>
      <c r="P8" s="16">
        <f>5.14-4.85</f>
        <v>0.29000000000000004</v>
      </c>
      <c r="Q8" s="16"/>
      <c r="R8" s="17">
        <f>0.61-0.81</f>
        <v>-0.20000000000000007</v>
      </c>
    </row>
    <row r="9" spans="1:18" x14ac:dyDescent="0.25">
      <c r="A9" s="15" t="s">
        <v>48</v>
      </c>
      <c r="B9" s="16">
        <v>6.3</v>
      </c>
      <c r="C9" s="16"/>
      <c r="D9" s="16">
        <v>5.16</v>
      </c>
      <c r="E9" s="16"/>
      <c r="F9" s="17">
        <v>1.1399999999999999</v>
      </c>
      <c r="G9" s="19"/>
      <c r="H9" s="16" t="s">
        <v>110</v>
      </c>
      <c r="I9" s="16"/>
      <c r="J9" s="16" t="s">
        <v>111</v>
      </c>
      <c r="K9" s="16"/>
      <c r="L9" s="17" t="s">
        <v>112</v>
      </c>
      <c r="M9" s="19"/>
      <c r="N9" s="16">
        <f>6.3-6.33</f>
        <v>-3.0000000000000249E-2</v>
      </c>
      <c r="O9" s="16"/>
      <c r="P9" s="16">
        <f>5.16-5.15</f>
        <v>9.9999999999997868E-3</v>
      </c>
      <c r="Q9" s="16"/>
      <c r="R9" s="17">
        <f>1.14-1.18</f>
        <v>-4.0000000000000036E-2</v>
      </c>
    </row>
  </sheetData>
  <mergeCells count="4">
    <mergeCell ref="B1:F1"/>
    <mergeCell ref="H1:L1"/>
    <mergeCell ref="N1:R1"/>
    <mergeCell ref="A1:A2"/>
  </mergeCells>
  <conditionalFormatting sqref="R3">
    <cfRule type="iconSet" priority="8">
      <iconSet iconSet="3Arrows" reverse="1">
        <cfvo type="percent" val="0"/>
        <cfvo type="num" val="0"/>
        <cfvo type="num" val="0"/>
      </iconSet>
    </cfRule>
  </conditionalFormatting>
  <conditionalFormatting sqref="R4:R7">
    <cfRule type="iconSet" priority="7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6">
      <iconSet iconSet="3Arrows">
        <cfvo type="percent" val="0"/>
        <cfvo type="num" val="0"/>
        <cfvo type="num" val="9.9999999999999995E-8"/>
      </iconSet>
    </cfRule>
  </conditionalFormatting>
  <conditionalFormatting sqref="N4:N7">
    <cfRule type="iconSet" priority="5">
      <iconSet iconSet="3Arrows">
        <cfvo type="percent" val="0"/>
        <cfvo type="num" val="0"/>
        <cfvo type="num" val="9.9999999999999995E-8"/>
      </iconSet>
    </cfRule>
  </conditionalFormatting>
  <conditionalFormatting sqref="P3:P7">
    <cfRule type="iconSet" priority="4">
      <iconSet iconSet="3Arrows">
        <cfvo type="percent" val="0"/>
        <cfvo type="num" val="0"/>
        <cfvo type="num" val="9.9999999999999995E-8"/>
      </iconSet>
    </cfRule>
  </conditionalFormatting>
  <conditionalFormatting sqref="R8:R9">
    <cfRule type="iconSet" priority="3">
      <iconSet iconSet="3Arrows" reverse="1">
        <cfvo type="percent" val="0"/>
        <cfvo type="num" val="0"/>
        <cfvo type="num" val="0"/>
      </iconSet>
    </cfRule>
  </conditionalFormatting>
  <conditionalFormatting sqref="N8:N9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8:P9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17"/>
  <sheetViews>
    <sheetView zoomScaleNormal="100" workbookViewId="0">
      <selection activeCell="A13" sqref="A13"/>
    </sheetView>
  </sheetViews>
  <sheetFormatPr defaultRowHeight="15" x14ac:dyDescent="0.25"/>
  <cols>
    <col min="1" max="1" width="82.28515625" customWidth="1"/>
    <col min="2" max="2" width="14.5703125" style="1" customWidth="1"/>
    <col min="3" max="3" width="1.28515625" style="1" customWidth="1"/>
    <col min="4" max="4" width="14.42578125" style="1" customWidth="1"/>
    <col min="5" max="5" width="1.28515625" style="1" customWidth="1"/>
    <col min="6" max="6" width="9.140625" style="1"/>
    <col min="7" max="7" width="1.28515625" customWidth="1"/>
    <col min="8" max="8" width="15.42578125" style="1" customWidth="1"/>
    <col min="9" max="9" width="1.7109375" style="1" customWidth="1"/>
    <col min="10" max="10" width="15.85546875" style="1" customWidth="1"/>
    <col min="11" max="11" width="1" style="1" customWidth="1"/>
    <col min="12" max="12" width="9.140625" style="1"/>
    <col min="13" max="13" width="1.85546875" customWidth="1"/>
    <col min="14" max="14" width="15.28515625" customWidth="1"/>
    <col min="15" max="15" width="0.7109375" customWidth="1"/>
    <col min="16" max="16" width="16.140625" customWidth="1"/>
    <col min="17" max="17" width="0.7109375" customWidth="1"/>
  </cols>
  <sheetData>
    <row r="1" spans="1:18" ht="15.75" x14ac:dyDescent="0.25">
      <c r="A1" s="33" t="s">
        <v>174</v>
      </c>
      <c r="B1" s="32">
        <v>2012</v>
      </c>
      <c r="C1" s="32"/>
      <c r="D1" s="32"/>
      <c r="E1" s="32"/>
      <c r="F1" s="32"/>
      <c r="G1" s="19"/>
      <c r="H1" s="32"/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174</v>
      </c>
      <c r="B3" s="18">
        <v>6.42</v>
      </c>
      <c r="C3" s="18"/>
      <c r="D3" s="18">
        <v>5.39</v>
      </c>
      <c r="E3" s="2"/>
      <c r="F3" s="10">
        <v>1.03</v>
      </c>
      <c r="G3" s="19"/>
      <c r="H3" s="18" t="s">
        <v>99</v>
      </c>
      <c r="I3" s="18"/>
      <c r="J3" s="18" t="s">
        <v>175</v>
      </c>
      <c r="K3" s="8"/>
      <c r="L3" s="10" t="s">
        <v>176</v>
      </c>
      <c r="M3" s="19"/>
      <c r="N3" s="18">
        <v>-0.02</v>
      </c>
      <c r="O3" s="18"/>
      <c r="P3" s="18">
        <v>-0.04</v>
      </c>
      <c r="Q3" s="8"/>
      <c r="R3" s="10">
        <v>0.02</v>
      </c>
    </row>
    <row r="4" spans="1:18" x14ac:dyDescent="0.25">
      <c r="A4" s="12" t="s">
        <v>2</v>
      </c>
      <c r="B4" s="13">
        <v>6.11</v>
      </c>
      <c r="C4" s="13"/>
      <c r="D4" s="13">
        <v>5.01</v>
      </c>
      <c r="E4" s="13"/>
      <c r="F4" s="14">
        <v>1.1000000000000001</v>
      </c>
      <c r="G4" s="19"/>
      <c r="H4" s="13" t="s">
        <v>84</v>
      </c>
      <c r="I4" s="13"/>
      <c r="J4" s="13" t="s">
        <v>177</v>
      </c>
      <c r="K4" s="13"/>
      <c r="L4" s="14" t="s">
        <v>86</v>
      </c>
      <c r="M4" s="19"/>
      <c r="N4" s="13">
        <f>6.11-6.06</f>
        <v>5.0000000000000711E-2</v>
      </c>
      <c r="O4" s="13"/>
      <c r="P4" s="13">
        <f>5.01-5</f>
        <v>9.9999999999997868E-3</v>
      </c>
      <c r="Q4" s="13"/>
      <c r="R4" s="14">
        <f>1.1-1.06</f>
        <v>4.0000000000000036E-2</v>
      </c>
    </row>
    <row r="5" spans="1:18" x14ac:dyDescent="0.25">
      <c r="A5" s="15" t="s">
        <v>7</v>
      </c>
      <c r="B5" s="16">
        <v>6.63</v>
      </c>
      <c r="C5" s="16"/>
      <c r="D5" s="16">
        <v>5.36</v>
      </c>
      <c r="E5" s="16"/>
      <c r="F5" s="17">
        <v>1.27</v>
      </c>
      <c r="G5" s="19"/>
      <c r="H5" s="16" t="s">
        <v>178</v>
      </c>
      <c r="I5" s="16"/>
      <c r="J5" s="16" t="s">
        <v>179</v>
      </c>
      <c r="K5" s="16"/>
      <c r="L5" s="17" t="s">
        <v>180</v>
      </c>
      <c r="M5" s="19"/>
      <c r="N5" s="16">
        <f>6.63-6.65</f>
        <v>-2.0000000000000462E-2</v>
      </c>
      <c r="O5" s="16"/>
      <c r="P5" s="16">
        <f>5.36-5.38</f>
        <v>-1.9999999999999574E-2</v>
      </c>
      <c r="Q5" s="16"/>
      <c r="R5" s="17">
        <f>1.27-1.27</f>
        <v>0</v>
      </c>
    </row>
    <row r="6" spans="1:18" x14ac:dyDescent="0.25">
      <c r="A6" s="15" t="s">
        <v>14</v>
      </c>
      <c r="B6" s="16">
        <v>6.6</v>
      </c>
      <c r="C6" s="16"/>
      <c r="D6" s="16">
        <v>5.35</v>
      </c>
      <c r="E6" s="16"/>
      <c r="F6" s="17">
        <v>1.25</v>
      </c>
      <c r="G6" s="19"/>
      <c r="H6" s="16" t="s">
        <v>181</v>
      </c>
      <c r="I6" s="16"/>
      <c r="J6" s="16" t="s">
        <v>182</v>
      </c>
      <c r="K6" s="16"/>
      <c r="L6" s="17" t="s">
        <v>183</v>
      </c>
      <c r="M6" s="19"/>
      <c r="N6" s="16">
        <f>6.6-6.63</f>
        <v>-3.0000000000000249E-2</v>
      </c>
      <c r="O6" s="16"/>
      <c r="P6" s="16">
        <f>5.35-5.44</f>
        <v>-9.0000000000000746E-2</v>
      </c>
      <c r="Q6" s="16"/>
      <c r="R6" s="17">
        <f>1.25-1.19</f>
        <v>6.0000000000000053E-2</v>
      </c>
    </row>
    <row r="7" spans="1:18" x14ac:dyDescent="0.25">
      <c r="A7" s="15" t="s">
        <v>20</v>
      </c>
      <c r="B7" s="16">
        <v>6.44</v>
      </c>
      <c r="C7" s="16"/>
      <c r="D7" s="16">
        <v>5.34</v>
      </c>
      <c r="E7" s="16"/>
      <c r="F7" s="17">
        <v>1.1000000000000001</v>
      </c>
      <c r="G7" s="19"/>
      <c r="H7" s="16" t="s">
        <v>184</v>
      </c>
      <c r="I7" s="16"/>
      <c r="J7" s="16" t="s">
        <v>185</v>
      </c>
      <c r="K7" s="16"/>
      <c r="L7" s="17" t="s">
        <v>186</v>
      </c>
      <c r="M7" s="19"/>
      <c r="N7" s="16">
        <f>6.44-6.43</f>
        <v>1.0000000000000675E-2</v>
      </c>
      <c r="O7" s="16"/>
      <c r="P7" s="16">
        <f>5.34-5.38</f>
        <v>-4.0000000000000036E-2</v>
      </c>
      <c r="Q7" s="16"/>
      <c r="R7" s="17">
        <f>1.1-1.05</f>
        <v>5.0000000000000044E-2</v>
      </c>
    </row>
    <row r="8" spans="1:18" x14ac:dyDescent="0.25">
      <c r="A8" s="15" t="s">
        <v>32</v>
      </c>
      <c r="B8" s="16">
        <v>6.5</v>
      </c>
      <c r="C8" s="16"/>
      <c r="D8" s="16">
        <v>5.64</v>
      </c>
      <c r="E8" s="16"/>
      <c r="F8" s="17">
        <v>0.86</v>
      </c>
      <c r="G8" s="19"/>
      <c r="H8" s="16" t="s">
        <v>187</v>
      </c>
      <c r="I8" s="16"/>
      <c r="J8" s="16" t="s">
        <v>188</v>
      </c>
      <c r="K8" s="16"/>
      <c r="L8" s="17" t="s">
        <v>189</v>
      </c>
      <c r="M8" s="19"/>
      <c r="N8" s="16">
        <f>6.5-6.48</f>
        <v>1.9999999999999574E-2</v>
      </c>
      <c r="O8" s="16"/>
      <c r="P8" s="16">
        <f>5.64-5.74</f>
        <v>-0.10000000000000053</v>
      </c>
      <c r="Q8" s="16"/>
      <c r="R8" s="17">
        <f>0.86-0.74</f>
        <v>0.12</v>
      </c>
    </row>
    <row r="9" spans="1:18" x14ac:dyDescent="0.25">
      <c r="A9" s="15" t="s">
        <v>34</v>
      </c>
      <c r="B9" s="16">
        <v>6.4</v>
      </c>
      <c r="C9" s="16"/>
      <c r="D9" s="16">
        <v>5.44</v>
      </c>
      <c r="E9" s="16"/>
      <c r="F9" s="17">
        <v>0.96</v>
      </c>
      <c r="G9" s="19"/>
      <c r="H9" s="16" t="s">
        <v>99</v>
      </c>
      <c r="I9" s="16"/>
      <c r="J9" s="16" t="s">
        <v>100</v>
      </c>
      <c r="K9" s="16"/>
      <c r="L9" s="17" t="s">
        <v>101</v>
      </c>
      <c r="M9" s="19"/>
      <c r="N9" s="16">
        <f>6.4-6.44</f>
        <v>-4.0000000000000036E-2</v>
      </c>
      <c r="O9" s="16"/>
      <c r="P9" s="16">
        <f>5.44-5.47</f>
        <v>-2.9999999999999361E-2</v>
      </c>
      <c r="Q9" s="16"/>
      <c r="R9" s="17">
        <f>0.96-0.97</f>
        <v>-1.0000000000000009E-2</v>
      </c>
    </row>
    <row r="10" spans="1:18" x14ac:dyDescent="0.25">
      <c r="A10" s="15" t="s">
        <v>39</v>
      </c>
      <c r="B10" s="16">
        <v>6.44</v>
      </c>
      <c r="C10" s="16"/>
      <c r="D10" s="16">
        <v>5.08</v>
      </c>
      <c r="E10" s="16"/>
      <c r="F10" s="17">
        <v>1.36</v>
      </c>
      <c r="G10" s="19"/>
      <c r="H10" s="16" t="s">
        <v>190</v>
      </c>
      <c r="I10" s="16"/>
      <c r="J10" s="16" t="s">
        <v>191</v>
      </c>
      <c r="K10" s="16"/>
      <c r="L10" s="17" t="s">
        <v>192</v>
      </c>
      <c r="M10" s="19"/>
      <c r="N10" s="16">
        <f>6.44-6.41</f>
        <v>3.0000000000000249E-2</v>
      </c>
      <c r="O10" s="16"/>
      <c r="P10" s="16">
        <f>5.08-5.09</f>
        <v>-9.9999999999997868E-3</v>
      </c>
      <c r="Q10" s="16"/>
      <c r="R10" s="17">
        <f>1.36-1.32</f>
        <v>4.0000000000000036E-2</v>
      </c>
    </row>
    <row r="11" spans="1:18" x14ac:dyDescent="0.25">
      <c r="A11" s="15" t="s">
        <v>68</v>
      </c>
      <c r="B11" s="16">
        <v>6.14</v>
      </c>
      <c r="C11" s="16"/>
      <c r="D11" s="16">
        <v>5.0199999999999996</v>
      </c>
      <c r="E11" s="16"/>
      <c r="F11" s="17">
        <v>1.1200000000000001</v>
      </c>
      <c r="G11" s="19"/>
      <c r="H11" s="16" t="s">
        <v>75</v>
      </c>
      <c r="I11" s="16"/>
      <c r="J11" s="16" t="s">
        <v>193</v>
      </c>
      <c r="K11" s="16"/>
      <c r="L11" s="17" t="s">
        <v>194</v>
      </c>
      <c r="M11" s="19"/>
      <c r="N11" s="16">
        <f>6.14-6.15</f>
        <v>-1.0000000000000675E-2</v>
      </c>
      <c r="O11" s="16"/>
      <c r="P11" s="16">
        <f>5.02-5.07</f>
        <v>-5.0000000000000711E-2</v>
      </c>
      <c r="Q11" s="16"/>
      <c r="R11" s="17">
        <f>1.12-1.08</f>
        <v>4.0000000000000036E-2</v>
      </c>
    </row>
    <row r="12" spans="1:18" x14ac:dyDescent="0.25">
      <c r="A12" s="15" t="s">
        <v>47</v>
      </c>
      <c r="B12" s="16">
        <v>6.61</v>
      </c>
      <c r="C12" s="16"/>
      <c r="D12" s="16">
        <v>5.37</v>
      </c>
      <c r="E12" s="16"/>
      <c r="F12" s="17">
        <v>1.24</v>
      </c>
      <c r="G12" s="19"/>
      <c r="H12" s="16" t="s">
        <v>195</v>
      </c>
      <c r="I12" s="16"/>
      <c r="J12" s="16" t="s">
        <v>196</v>
      </c>
      <c r="K12" s="16"/>
      <c r="L12" s="17" t="s">
        <v>183</v>
      </c>
      <c r="M12" s="19"/>
      <c r="N12" s="16">
        <f>6.61-6.64</f>
        <v>-2.9999999999999361E-2</v>
      </c>
      <c r="O12" s="16"/>
      <c r="P12" s="16">
        <f>5.37-5.45</f>
        <v>-8.0000000000000071E-2</v>
      </c>
      <c r="Q12" s="16"/>
      <c r="R12" s="17">
        <f>1.24-1.19</f>
        <v>5.0000000000000044E-2</v>
      </c>
    </row>
    <row r="13" spans="1:18" x14ac:dyDescent="0.25">
      <c r="A13" s="15" t="s">
        <v>50</v>
      </c>
      <c r="B13" s="16">
        <v>6.28</v>
      </c>
      <c r="C13" s="16"/>
      <c r="D13" s="16">
        <v>5.41</v>
      </c>
      <c r="E13" s="16"/>
      <c r="F13" s="17">
        <v>0.87</v>
      </c>
      <c r="G13" s="19"/>
      <c r="H13" s="16" t="s">
        <v>197</v>
      </c>
      <c r="I13" s="16"/>
      <c r="J13" s="16" t="s">
        <v>198</v>
      </c>
      <c r="K13" s="16"/>
      <c r="L13" s="17" t="s">
        <v>199</v>
      </c>
      <c r="M13" s="19"/>
      <c r="N13" s="16">
        <f>6.28-6.35</f>
        <v>-6.9999999999999396E-2</v>
      </c>
      <c r="O13" s="16"/>
      <c r="P13" s="16">
        <f>5.41-5.49</f>
        <v>-8.0000000000000071E-2</v>
      </c>
      <c r="Q13" s="16"/>
      <c r="R13" s="17">
        <f>0.87-0.86</f>
        <v>1.0000000000000009E-2</v>
      </c>
    </row>
    <row r="14" spans="1:18" x14ac:dyDescent="0.25">
      <c r="A14" s="15" t="s">
        <v>54</v>
      </c>
      <c r="B14" s="16">
        <v>6.34</v>
      </c>
      <c r="C14" s="16"/>
      <c r="D14" s="16">
        <v>5.74</v>
      </c>
      <c r="E14" s="16"/>
      <c r="F14" s="17">
        <v>0.6</v>
      </c>
      <c r="G14" s="19"/>
      <c r="H14" s="16" t="s">
        <v>200</v>
      </c>
      <c r="I14" s="16"/>
      <c r="J14" s="16" t="s">
        <v>201</v>
      </c>
      <c r="K14" s="16"/>
      <c r="L14" s="17" t="s">
        <v>202</v>
      </c>
      <c r="M14" s="19"/>
      <c r="N14" s="16">
        <f>6.34-6.4</f>
        <v>-6.0000000000000497E-2</v>
      </c>
      <c r="O14" s="16"/>
      <c r="P14" s="16">
        <f>5.74-5.8</f>
        <v>-5.9999999999999609E-2</v>
      </c>
      <c r="Q14" s="16"/>
      <c r="R14" s="17">
        <f>0.6-0.6</f>
        <v>0</v>
      </c>
    </row>
    <row r="15" spans="1:18" x14ac:dyDescent="0.25">
      <c r="A15" s="15" t="s">
        <v>58</v>
      </c>
      <c r="B15" s="16">
        <v>6.62</v>
      </c>
      <c r="C15" s="16"/>
      <c r="D15" s="16">
        <v>5.77</v>
      </c>
      <c r="E15" s="16"/>
      <c r="F15" s="17">
        <v>0.85</v>
      </c>
      <c r="G15" s="19"/>
      <c r="H15" s="16" t="s">
        <v>181</v>
      </c>
      <c r="I15" s="16"/>
      <c r="J15" s="16" t="s">
        <v>203</v>
      </c>
      <c r="K15" s="16"/>
      <c r="L15" s="17" t="s">
        <v>204</v>
      </c>
      <c r="M15" s="19"/>
      <c r="N15" s="16">
        <f>6.62-6.63</f>
        <v>-9.9999999999997868E-3</v>
      </c>
      <c r="O15" s="16"/>
      <c r="P15" s="16">
        <f>5.77-5.78</f>
        <v>-1.0000000000000675E-2</v>
      </c>
      <c r="Q15" s="16"/>
      <c r="R15" s="17">
        <f>0.85-0.85</f>
        <v>0</v>
      </c>
    </row>
    <row r="16" spans="1:18" x14ac:dyDescent="0.25">
      <c r="A16" s="15" t="s">
        <v>59</v>
      </c>
      <c r="B16" s="16">
        <v>6.48</v>
      </c>
      <c r="C16" s="16"/>
      <c r="D16" s="16">
        <v>5.63</v>
      </c>
      <c r="E16" s="16"/>
      <c r="F16" s="17">
        <v>0.85</v>
      </c>
      <c r="G16" s="19"/>
      <c r="H16" s="16" t="s">
        <v>205</v>
      </c>
      <c r="I16" s="16"/>
      <c r="J16" s="16" t="s">
        <v>206</v>
      </c>
      <c r="K16" s="16"/>
      <c r="L16" s="17" t="s">
        <v>207</v>
      </c>
      <c r="M16" s="19"/>
      <c r="N16" s="16">
        <f>6.48</f>
        <v>6.48</v>
      </c>
      <c r="O16" s="16"/>
      <c r="P16" s="16">
        <f>5.63-5.61</f>
        <v>1.9999999999999574E-2</v>
      </c>
      <c r="Q16" s="16"/>
      <c r="R16" s="17">
        <f>0.85-0.91</f>
        <v>-6.0000000000000053E-2</v>
      </c>
    </row>
    <row r="17" spans="1:18" x14ac:dyDescent="0.25">
      <c r="A17" s="15" t="s">
        <v>60</v>
      </c>
      <c r="B17" s="16">
        <v>6.29</v>
      </c>
      <c r="C17" s="16"/>
      <c r="D17" s="16">
        <v>5.24</v>
      </c>
      <c r="E17" s="16"/>
      <c r="F17" s="17">
        <v>1.05</v>
      </c>
      <c r="G17" s="19"/>
      <c r="H17" s="16" t="s">
        <v>208</v>
      </c>
      <c r="I17" s="16"/>
      <c r="J17" s="16" t="s">
        <v>209</v>
      </c>
      <c r="K17" s="16"/>
      <c r="L17" s="17" t="s">
        <v>142</v>
      </c>
      <c r="M17" s="19"/>
      <c r="N17" s="16">
        <f>6.29-6.3</f>
        <v>-9.9999999999997868E-3</v>
      </c>
      <c r="O17" s="16"/>
      <c r="P17" s="16">
        <f>5.24-5.28</f>
        <v>-4.0000000000000036E-2</v>
      </c>
      <c r="Q17" s="16"/>
      <c r="R17" s="17">
        <f>1.05-1.02</f>
        <v>3.0000000000000027E-2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17">
    <cfRule type="iconSet" priority="4">
      <iconSet iconSet="3Arrows" reverse="1">
        <cfvo type="percent" val="0"/>
        <cfvo type="num" val="0"/>
        <cfvo type="num" val="9.9999999999999995E-8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17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17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zoomScaleNormal="100" workbookViewId="0">
      <selection activeCell="B33" sqref="B33"/>
    </sheetView>
  </sheetViews>
  <sheetFormatPr defaultRowHeight="15" x14ac:dyDescent="0.25"/>
  <cols>
    <col min="1" max="1" width="82.28515625" customWidth="1"/>
    <col min="2" max="2" width="14" style="1" customWidth="1"/>
    <col min="3" max="3" width="1" style="1" customWidth="1"/>
    <col min="4" max="4" width="13" style="1" customWidth="1"/>
    <col min="5" max="5" width="0.5703125" style="1" customWidth="1"/>
    <col min="6" max="6" width="9.140625" style="1"/>
    <col min="7" max="7" width="0.85546875" customWidth="1"/>
    <col min="8" max="8" width="13.85546875" style="1" customWidth="1"/>
    <col min="9" max="9" width="0.85546875" style="1" customWidth="1"/>
    <col min="10" max="10" width="14.140625" style="1" customWidth="1"/>
    <col min="11" max="11" width="0.7109375" style="1" customWidth="1"/>
    <col min="12" max="12" width="9.140625" style="1"/>
    <col min="13" max="13" width="0.85546875" customWidth="1"/>
    <col min="14" max="14" width="16.42578125" customWidth="1"/>
    <col min="15" max="15" width="0.85546875" customWidth="1"/>
    <col min="16" max="16" width="11" customWidth="1"/>
    <col min="17" max="17" width="0.5703125" customWidth="1"/>
  </cols>
  <sheetData>
    <row r="1" spans="1:18" ht="15.75" customHeight="1" x14ac:dyDescent="0.25">
      <c r="A1" s="33" t="s">
        <v>210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ht="30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210</v>
      </c>
      <c r="B3" s="18">
        <v>6.27</v>
      </c>
      <c r="C3" s="18"/>
      <c r="D3" s="18">
        <v>5.2</v>
      </c>
      <c r="E3" s="2"/>
      <c r="F3" s="10">
        <v>1.07</v>
      </c>
      <c r="G3" s="19"/>
      <c r="H3" s="18" t="s">
        <v>211</v>
      </c>
      <c r="I3" s="18"/>
      <c r="J3" s="18" t="s">
        <v>212</v>
      </c>
      <c r="K3" s="8"/>
      <c r="L3" s="10" t="s">
        <v>213</v>
      </c>
      <c r="M3" s="19"/>
      <c r="N3" s="18">
        <v>0</v>
      </c>
      <c r="O3" s="18"/>
      <c r="P3" s="18">
        <v>0.09</v>
      </c>
      <c r="Q3" s="8"/>
      <c r="R3" s="10">
        <v>-0.09</v>
      </c>
    </row>
    <row r="4" spans="1:18" x14ac:dyDescent="0.25">
      <c r="A4" s="12" t="s">
        <v>3</v>
      </c>
      <c r="B4" s="13">
        <v>6.29</v>
      </c>
      <c r="C4" s="13"/>
      <c r="D4" s="13">
        <v>5.1100000000000003</v>
      </c>
      <c r="E4" s="13"/>
      <c r="F4" s="14">
        <v>1.18</v>
      </c>
      <c r="G4" s="19"/>
      <c r="H4" s="13" t="s">
        <v>102</v>
      </c>
      <c r="I4" s="13"/>
      <c r="J4" s="13" t="s">
        <v>214</v>
      </c>
      <c r="K4" s="13"/>
      <c r="L4" s="14" t="s">
        <v>83</v>
      </c>
      <c r="M4" s="19"/>
      <c r="N4" s="13">
        <f>6.29-6.2</f>
        <v>8.9999999999999858E-2</v>
      </c>
      <c r="O4" s="13"/>
      <c r="P4" s="13">
        <f>5.11-5.13</f>
        <v>-1.9999999999999574E-2</v>
      </c>
      <c r="Q4" s="13"/>
      <c r="R4" s="14">
        <f>1.18-1.07</f>
        <v>0.10999999999999988</v>
      </c>
    </row>
    <row r="5" spans="1:18" x14ac:dyDescent="0.25">
      <c r="A5" s="15" t="s">
        <v>4</v>
      </c>
      <c r="B5" s="16">
        <v>6.37</v>
      </c>
      <c r="C5" s="16"/>
      <c r="D5" s="16">
        <v>5.24</v>
      </c>
      <c r="E5" s="16"/>
      <c r="F5" s="17">
        <v>1.1299999999999999</v>
      </c>
      <c r="G5" s="19"/>
      <c r="H5" s="16" t="s">
        <v>215</v>
      </c>
      <c r="I5" s="16"/>
      <c r="J5" s="16" t="s">
        <v>216</v>
      </c>
      <c r="K5" s="16"/>
      <c r="L5" s="17" t="s">
        <v>217</v>
      </c>
      <c r="M5" s="19"/>
      <c r="N5" s="16">
        <f>6.37-6.32</f>
        <v>4.9999999999999822E-2</v>
      </c>
      <c r="O5" s="16"/>
      <c r="P5" s="16">
        <f>5.24-5.19</f>
        <v>4.9999999999999822E-2</v>
      </c>
      <c r="Q5" s="16"/>
      <c r="R5" s="17">
        <f>1.13-1.13</f>
        <v>0</v>
      </c>
    </row>
    <row r="6" spans="1:18" x14ac:dyDescent="0.25">
      <c r="A6" s="15" t="s">
        <v>63</v>
      </c>
      <c r="B6" s="16">
        <v>6.42</v>
      </c>
      <c r="C6" s="16"/>
      <c r="D6" s="16">
        <v>5.21</v>
      </c>
      <c r="E6" s="16"/>
      <c r="F6" s="17">
        <v>1.21</v>
      </c>
      <c r="G6" s="19"/>
      <c r="H6" s="16" t="s">
        <v>99</v>
      </c>
      <c r="I6" s="16"/>
      <c r="J6" s="16" t="s">
        <v>135</v>
      </c>
      <c r="K6" s="16"/>
      <c r="L6" s="17" t="s">
        <v>218</v>
      </c>
      <c r="M6" s="19"/>
      <c r="N6" s="16">
        <f>6.42-6.44</f>
        <v>-2.0000000000000462E-2</v>
      </c>
      <c r="O6" s="16"/>
      <c r="P6" s="16">
        <f>5.21-5.1</f>
        <v>0.11000000000000032</v>
      </c>
      <c r="Q6" s="16"/>
      <c r="R6" s="17">
        <f>1.21-1.34</f>
        <v>-0.13000000000000012</v>
      </c>
    </row>
    <row r="7" spans="1:18" x14ac:dyDescent="0.25">
      <c r="A7" s="15" t="s">
        <v>15</v>
      </c>
      <c r="B7" s="16">
        <v>6.42</v>
      </c>
      <c r="C7" s="16"/>
      <c r="D7" s="16">
        <v>5.1100000000000003</v>
      </c>
      <c r="E7" s="16"/>
      <c r="F7" s="17">
        <v>1.31</v>
      </c>
      <c r="G7" s="19"/>
      <c r="H7" s="16" t="s">
        <v>219</v>
      </c>
      <c r="I7" s="16"/>
      <c r="J7" s="16" t="s">
        <v>113</v>
      </c>
      <c r="K7" s="16"/>
      <c r="L7" s="17" t="s">
        <v>220</v>
      </c>
      <c r="M7" s="19"/>
      <c r="N7" s="16">
        <f>6.42-6.46</f>
        <v>-4.0000000000000036E-2</v>
      </c>
      <c r="O7" s="16"/>
      <c r="P7" s="16">
        <f>5.11-5.03</f>
        <v>8.0000000000000071E-2</v>
      </c>
      <c r="Q7" s="16"/>
      <c r="R7" s="17">
        <f>1.31-1.43</f>
        <v>-0.11999999999999988</v>
      </c>
    </row>
    <row r="8" spans="1:18" x14ac:dyDescent="0.25">
      <c r="A8" s="15" t="s">
        <v>69</v>
      </c>
      <c r="B8" s="16">
        <v>6.07</v>
      </c>
      <c r="C8" s="16"/>
      <c r="D8" s="16">
        <v>5.31</v>
      </c>
      <c r="E8" s="16"/>
      <c r="F8" s="17">
        <v>0.76</v>
      </c>
      <c r="G8" s="19"/>
      <c r="H8" s="16" t="s">
        <v>221</v>
      </c>
      <c r="I8" s="16"/>
      <c r="J8" s="16" t="s">
        <v>135</v>
      </c>
      <c r="K8" s="16"/>
      <c r="L8" s="17" t="s">
        <v>142</v>
      </c>
      <c r="M8" s="19"/>
      <c r="N8" s="16">
        <f>6.07-6.12</f>
        <v>-4.9999999999999822E-2</v>
      </c>
      <c r="O8" s="16"/>
      <c r="P8" s="16">
        <f>5.31-5.1</f>
        <v>0.20999999999999996</v>
      </c>
      <c r="Q8" s="16"/>
      <c r="R8" s="17">
        <f>0.76-1.02</f>
        <v>-0.26</v>
      </c>
    </row>
    <row r="9" spans="1:18" x14ac:dyDescent="0.25">
      <c r="A9" s="15" t="s">
        <v>70</v>
      </c>
      <c r="B9" s="16">
        <v>6.02</v>
      </c>
      <c r="C9" s="16"/>
      <c r="D9" s="16">
        <v>5.26</v>
      </c>
      <c r="E9" s="16"/>
      <c r="F9" s="17">
        <v>0.76</v>
      </c>
      <c r="G9" s="19"/>
      <c r="H9" s="16" t="s">
        <v>222</v>
      </c>
      <c r="I9" s="16"/>
      <c r="J9" s="16" t="s">
        <v>223</v>
      </c>
      <c r="K9" s="16"/>
      <c r="L9" s="17" t="s">
        <v>224</v>
      </c>
      <c r="M9" s="19"/>
      <c r="N9" s="16">
        <f>6.02-6.05</f>
        <v>-3.0000000000000249E-2</v>
      </c>
      <c r="O9" s="16"/>
      <c r="P9" s="16">
        <f>5.26-5.12</f>
        <v>0.13999999999999968</v>
      </c>
      <c r="Q9" s="16"/>
      <c r="R9" s="17">
        <f>0.76-0.93</f>
        <v>-0.17000000000000004</v>
      </c>
    </row>
  </sheetData>
  <mergeCells count="4">
    <mergeCell ref="B1:F1"/>
    <mergeCell ref="H1:L1"/>
    <mergeCell ref="N1:R1"/>
    <mergeCell ref="A1:A2"/>
  </mergeCells>
  <conditionalFormatting sqref="R3">
    <cfRule type="iconSet" priority="6">
      <iconSet iconSet="3Arrows" reverse="1">
        <cfvo type="percent" val="0"/>
        <cfvo type="num" val="0"/>
        <cfvo type="num" val="0"/>
      </iconSet>
    </cfRule>
  </conditionalFormatting>
  <conditionalFormatting sqref="R4 R6:R9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4">
      <iconSet iconSet="3Arrows">
        <cfvo type="percent" val="0"/>
        <cfvo type="num" val="0"/>
        <cfvo type="num" val="9.9999999999999995E-8"/>
      </iconSet>
    </cfRule>
  </conditionalFormatting>
  <conditionalFormatting sqref="N4:N9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P3:P9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R5">
    <cfRule type="iconSet" priority="1">
      <iconSet iconSet="3Arrows" reverse="1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8"/>
  <sheetViews>
    <sheetView workbookViewId="0">
      <selection activeCell="D31" sqref="D31"/>
    </sheetView>
  </sheetViews>
  <sheetFormatPr defaultRowHeight="15" x14ac:dyDescent="0.25"/>
  <cols>
    <col min="1" max="1" width="82.28515625" customWidth="1"/>
    <col min="2" max="2" width="14.85546875" style="1" customWidth="1"/>
    <col min="3" max="3" width="0.85546875" style="1" customWidth="1"/>
    <col min="4" max="4" width="14.5703125" style="1" customWidth="1"/>
    <col min="5" max="5" width="1" style="1" customWidth="1"/>
    <col min="6" max="6" width="9.140625" style="1"/>
    <col min="7" max="7" width="0.85546875" customWidth="1"/>
    <col min="8" max="8" width="13.85546875" style="1" customWidth="1"/>
    <col min="9" max="9" width="0.7109375" style="1" customWidth="1"/>
    <col min="10" max="10" width="11.5703125" style="1" customWidth="1"/>
    <col min="11" max="11" width="0.85546875" style="1" customWidth="1"/>
    <col min="12" max="12" width="9.140625" style="1"/>
    <col min="13" max="13" width="0.85546875" customWidth="1"/>
    <col min="14" max="14" width="12.42578125" style="7" customWidth="1"/>
    <col min="15" max="15" width="0.7109375" style="7" customWidth="1"/>
    <col min="16" max="16" width="13" style="7" customWidth="1"/>
    <col min="17" max="17" width="0.42578125" style="7" customWidth="1"/>
    <col min="18" max="18" width="9.140625" style="7"/>
  </cols>
  <sheetData>
    <row r="1" spans="1:18" ht="15.75" x14ac:dyDescent="0.25">
      <c r="A1" s="33" t="s">
        <v>260</v>
      </c>
      <c r="B1" s="32">
        <v>2012</v>
      </c>
      <c r="C1" s="32"/>
      <c r="D1" s="32"/>
      <c r="E1" s="32"/>
      <c r="F1" s="32"/>
      <c r="G1" s="19"/>
      <c r="H1" s="32">
        <v>2010</v>
      </c>
      <c r="I1" s="32"/>
      <c r="J1" s="32"/>
      <c r="K1" s="32"/>
      <c r="L1" s="32"/>
      <c r="M1" s="19"/>
      <c r="N1" s="32" t="s">
        <v>288</v>
      </c>
      <c r="O1" s="32"/>
      <c r="P1" s="32"/>
      <c r="Q1" s="32"/>
      <c r="R1" s="32"/>
    </row>
    <row r="2" spans="1:18" x14ac:dyDescent="0.25">
      <c r="A2" s="34"/>
      <c r="B2" s="9" t="s">
        <v>71</v>
      </c>
      <c r="C2" s="2"/>
      <c r="D2" s="9" t="s">
        <v>72</v>
      </c>
      <c r="E2" s="2"/>
      <c r="F2" s="9" t="s">
        <v>73</v>
      </c>
      <c r="G2" s="19"/>
      <c r="H2" s="9" t="s">
        <v>71</v>
      </c>
      <c r="I2" s="2"/>
      <c r="J2" s="9" t="s">
        <v>72</v>
      </c>
      <c r="K2" s="2"/>
      <c r="L2" s="9" t="s">
        <v>73</v>
      </c>
      <c r="M2" s="19"/>
      <c r="N2" s="9" t="s">
        <v>71</v>
      </c>
      <c r="O2" s="2"/>
      <c r="P2" s="9" t="s">
        <v>72</v>
      </c>
      <c r="Q2" s="2"/>
      <c r="R2" s="9" t="s">
        <v>73</v>
      </c>
    </row>
    <row r="3" spans="1:18" x14ac:dyDescent="0.25">
      <c r="A3" s="11" t="s">
        <v>260</v>
      </c>
      <c r="B3" s="18">
        <v>6.23</v>
      </c>
      <c r="C3" s="18"/>
      <c r="D3" s="18">
        <v>5.29</v>
      </c>
      <c r="E3" s="2"/>
      <c r="F3" s="10">
        <v>0.94</v>
      </c>
      <c r="G3" s="19"/>
      <c r="H3" s="18" t="s">
        <v>211</v>
      </c>
      <c r="I3" s="18"/>
      <c r="J3" s="18" t="s">
        <v>261</v>
      </c>
      <c r="K3" s="8"/>
      <c r="L3" s="10" t="s">
        <v>142</v>
      </c>
      <c r="M3" s="19"/>
      <c r="N3" s="18">
        <v>-0.04</v>
      </c>
      <c r="O3" s="18"/>
      <c r="P3" s="18">
        <v>0.04</v>
      </c>
      <c r="Q3" s="8"/>
      <c r="R3" s="10">
        <v>-0.08</v>
      </c>
    </row>
    <row r="4" spans="1:18" x14ac:dyDescent="0.25">
      <c r="A4" s="12" t="s">
        <v>10</v>
      </c>
      <c r="B4" s="13">
        <v>6.23</v>
      </c>
      <c r="C4" s="13"/>
      <c r="D4" s="13">
        <v>5.13</v>
      </c>
      <c r="E4" s="13"/>
      <c r="F4" s="14">
        <v>1.1000000000000001</v>
      </c>
      <c r="G4" s="19"/>
      <c r="H4" s="13" t="s">
        <v>107</v>
      </c>
      <c r="I4" s="13"/>
      <c r="J4" s="13" t="s">
        <v>261</v>
      </c>
      <c r="K4" s="13"/>
      <c r="L4" s="14" t="s">
        <v>95</v>
      </c>
      <c r="M4" s="19"/>
      <c r="N4" s="13">
        <f>6.23-6.28</f>
        <v>-4.9999999999999822E-2</v>
      </c>
      <c r="O4" s="13"/>
      <c r="P4" s="13">
        <f>5.13-5.25</f>
        <v>-0.12000000000000011</v>
      </c>
      <c r="Q4" s="13"/>
      <c r="R4" s="14">
        <f>1.1-1.03</f>
        <v>7.0000000000000062E-2</v>
      </c>
    </row>
    <row r="5" spans="1:18" x14ac:dyDescent="0.25">
      <c r="A5" s="15" t="s">
        <v>64</v>
      </c>
      <c r="B5" s="16">
        <v>5.84</v>
      </c>
      <c r="C5" s="16"/>
      <c r="D5" s="16">
        <v>5.21</v>
      </c>
      <c r="E5" s="16"/>
      <c r="F5" s="17">
        <v>0.63</v>
      </c>
      <c r="G5" s="19"/>
      <c r="H5" s="16" t="s">
        <v>235</v>
      </c>
      <c r="I5" s="16"/>
      <c r="J5" s="16" t="s">
        <v>262</v>
      </c>
      <c r="K5" s="16"/>
      <c r="L5" s="17" t="s">
        <v>263</v>
      </c>
      <c r="M5" s="19"/>
      <c r="N5" s="16">
        <f>5.84-5.95</f>
        <v>-0.11000000000000032</v>
      </c>
      <c r="O5" s="16"/>
      <c r="P5" s="16">
        <f>5.21-5.08</f>
        <v>0.12999999999999989</v>
      </c>
      <c r="Q5" s="16"/>
      <c r="R5" s="17">
        <f>0.63-0.87</f>
        <v>-0.24</v>
      </c>
    </row>
    <row r="6" spans="1:18" x14ac:dyDescent="0.25">
      <c r="A6" s="15" t="s">
        <v>22</v>
      </c>
      <c r="B6" s="16">
        <v>6.16</v>
      </c>
      <c r="C6" s="16"/>
      <c r="D6" s="16">
        <v>5.43</v>
      </c>
      <c r="E6" s="16"/>
      <c r="F6" s="17">
        <v>0.73</v>
      </c>
      <c r="G6" s="19"/>
      <c r="H6" s="16" t="s">
        <v>231</v>
      </c>
      <c r="I6" s="16"/>
      <c r="J6" s="16" t="s">
        <v>264</v>
      </c>
      <c r="K6" s="16"/>
      <c r="L6" s="17" t="s">
        <v>77</v>
      </c>
      <c r="M6" s="19"/>
      <c r="N6" s="16">
        <f>6.16-6.23</f>
        <v>-7.0000000000000284E-2</v>
      </c>
      <c r="O6" s="16"/>
      <c r="P6" s="16">
        <f>5.43-5.31</f>
        <v>0.12000000000000011</v>
      </c>
      <c r="Q6" s="16"/>
      <c r="R6" s="17">
        <f>0.73-0.92</f>
        <v>-0.19000000000000006</v>
      </c>
    </row>
    <row r="7" spans="1:18" x14ac:dyDescent="0.25">
      <c r="A7" s="15" t="s">
        <v>28</v>
      </c>
      <c r="B7" s="16">
        <v>6.65</v>
      </c>
      <c r="C7" s="16"/>
      <c r="D7" s="16">
        <v>5.01</v>
      </c>
      <c r="E7" s="16"/>
      <c r="F7" s="17">
        <v>1.64</v>
      </c>
      <c r="G7" s="19"/>
      <c r="H7" s="16" t="s">
        <v>178</v>
      </c>
      <c r="I7" s="16"/>
      <c r="J7" s="16" t="s">
        <v>265</v>
      </c>
      <c r="K7" s="16"/>
      <c r="L7" s="17" t="s">
        <v>266</v>
      </c>
      <c r="M7" s="19"/>
      <c r="N7" s="16">
        <f>6.65-6.65</f>
        <v>0</v>
      </c>
      <c r="O7" s="16"/>
      <c r="P7" s="16">
        <f>5.01-4.87</f>
        <v>0.13999999999999968</v>
      </c>
      <c r="Q7" s="16"/>
      <c r="R7" s="17">
        <f>1.64-1.78</f>
        <v>-0.14000000000000012</v>
      </c>
    </row>
    <row r="8" spans="1:18" x14ac:dyDescent="0.25">
      <c r="A8" s="15" t="s">
        <v>41</v>
      </c>
      <c r="B8" s="16">
        <v>6.2</v>
      </c>
      <c r="C8" s="16"/>
      <c r="D8" s="16">
        <v>5.67</v>
      </c>
      <c r="E8" s="16"/>
      <c r="F8" s="17">
        <v>0.53</v>
      </c>
      <c r="G8" s="19"/>
      <c r="H8" s="16" t="s">
        <v>104</v>
      </c>
      <c r="I8" s="16"/>
      <c r="J8" s="16" t="s">
        <v>267</v>
      </c>
      <c r="K8" s="16"/>
      <c r="L8" s="17" t="s">
        <v>268</v>
      </c>
      <c r="M8" s="19"/>
      <c r="N8" s="16">
        <f>6.2-6.19</f>
        <v>9.9999999999997868E-3</v>
      </c>
      <c r="O8" s="16"/>
      <c r="P8" s="16">
        <f>5.67-5.75</f>
        <v>-8.0000000000000071E-2</v>
      </c>
      <c r="Q8" s="16"/>
      <c r="R8" s="17">
        <f>0.53-0.44</f>
        <v>9.0000000000000024E-2</v>
      </c>
    </row>
  </sheetData>
  <mergeCells count="4">
    <mergeCell ref="B1:F1"/>
    <mergeCell ref="H1:L1"/>
    <mergeCell ref="N1:R1"/>
    <mergeCell ref="A1:A2"/>
  </mergeCells>
  <conditionalFormatting sqref="R3">
    <cfRule type="iconSet" priority="5">
      <iconSet iconSet="3Arrows" reverse="1">
        <cfvo type="percent" val="0"/>
        <cfvo type="num" val="0"/>
        <cfvo type="num" val="0"/>
      </iconSet>
    </cfRule>
  </conditionalFormatting>
  <conditionalFormatting sqref="R4:R8">
    <cfRule type="iconSet" priority="4">
      <iconSet iconSet="3Arrows" reverse="1">
        <cfvo type="percent" val="0"/>
        <cfvo type="num" val="0"/>
        <cfvo type="num" val="0"/>
      </iconSet>
    </cfRule>
  </conditionalFormatting>
  <conditionalFormatting sqref="N3">
    <cfRule type="iconSet" priority="3">
      <iconSet iconSet="3Arrows">
        <cfvo type="percent" val="0"/>
        <cfvo type="num" val="0"/>
        <cfvo type="num" val="9.9999999999999995E-8"/>
      </iconSet>
    </cfRule>
  </conditionalFormatting>
  <conditionalFormatting sqref="N4:N8">
    <cfRule type="iconSet" priority="2">
      <iconSet iconSet="3Arrows">
        <cfvo type="percent" val="0"/>
        <cfvo type="num" val="0"/>
        <cfvo type="num" val="9.9999999999999995E-8"/>
      </iconSet>
    </cfRule>
  </conditionalFormatting>
  <conditionalFormatting sqref="P3:P8">
    <cfRule type="iconSet" priority="1">
      <iconSet iconSet="3Arrows">
        <cfvo type="percent" val="0"/>
        <cfvo type="num" val="0"/>
        <cfvo type="num" val="9.9999999999999995E-8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</vt:lpstr>
      <vt:lpstr>Academic Advising</vt:lpstr>
      <vt:lpstr>Campus Climate</vt:lpstr>
      <vt:lpstr>Campus Life</vt:lpstr>
      <vt:lpstr>Campus Support Services</vt:lpstr>
      <vt:lpstr>Concern for the Individual</vt:lpstr>
      <vt:lpstr>Instructional Effectiveness</vt:lpstr>
      <vt:lpstr>Recruitment and Financial Aid</vt:lpstr>
      <vt:lpstr>Registration Effectiveness</vt:lpstr>
      <vt:lpstr>Safety and Security</vt:lpstr>
      <vt:lpstr>Student Centeredness</vt:lpstr>
      <vt:lpstr>Service Excellence</vt:lpstr>
      <vt:lpstr>Sheet1</vt:lpstr>
    </vt:vector>
  </TitlesOfParts>
  <Company>Wright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Kary Brigger</cp:lastModifiedBy>
  <cp:lastPrinted>2012-09-10T20:21:32Z</cp:lastPrinted>
  <dcterms:created xsi:type="dcterms:W3CDTF">2012-08-16T19:13:38Z</dcterms:created>
  <dcterms:modified xsi:type="dcterms:W3CDTF">2014-01-23T19:38:31Z</dcterms:modified>
</cp:coreProperties>
</file>